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8" windowHeight="7284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9" name="ID_42F153C3B8CC44E082B0A244D3A19402" descr="D:\F\李竹雨\文物库房\临时展览\2007年展览\2007澳门展\澳门展览电子文本\621、622 清铜胎画珐琅开光人物纹茶具一套.JPG"/>
        <xdr:cNvPicPr/>
      </xdr:nvPicPr>
      <xdr:blipFill>
        <a:blip r:embed="rId1" cstate="screen"/>
        <a:srcRect/>
        <a:stretch>
          <a:fillRect/>
        </a:stretch>
      </xdr:blipFill>
      <xdr:spPr>
        <a:xfrm>
          <a:off x="5354955" y="65744725"/>
          <a:ext cx="1314450" cy="8756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4" name="ID_E6A2813B549549269BB141C2DCE8A67F"/>
        <xdr:cNvPicPr/>
      </xdr:nvPicPr>
      <xdr:blipFill>
        <a:blip r:embed="rId2" cstate="screen"/>
        <a:srcRect/>
        <a:stretch>
          <a:fillRect/>
        </a:stretch>
      </xdr:blipFill>
      <xdr:spPr>
        <a:xfrm>
          <a:off x="5516880" y="47818675"/>
          <a:ext cx="1193165" cy="795020"/>
        </a:xfrm>
        <a:prstGeom prst="rect">
          <a:avLst/>
        </a:prstGeom>
        <a:noFill/>
      </xdr:spPr>
    </xdr:pic>
  </etc:cellImage>
  <etc:cellImage>
    <xdr:pic>
      <xdr:nvPicPr>
        <xdr:cNvPr id="118" name="ID_FD6FE1CE692D41B88F4D14D5A4E6684A"/>
        <xdr:cNvPicPr/>
      </xdr:nvPicPr>
      <xdr:blipFill>
        <a:blip r:embed="rId3" cstate="screen"/>
        <a:srcRect/>
        <a:stretch>
          <a:fillRect/>
        </a:stretch>
      </xdr:blipFill>
      <xdr:spPr>
        <a:xfrm>
          <a:off x="5364480" y="28305125"/>
          <a:ext cx="1409700" cy="1038225"/>
        </a:xfrm>
        <a:prstGeom prst="rect">
          <a:avLst/>
        </a:prstGeom>
        <a:noFill/>
      </xdr:spPr>
    </xdr:pic>
  </etc:cellImage>
  <etc:cellImage>
    <xdr:pic>
      <xdr:nvPicPr>
        <xdr:cNvPr id="90" name="ID_74CCC6F65D25411589ACDE4E9D819A66" descr="D:\命名图片包\文物\M82 清漆描金人物纹茶叶盒\IMG_8756.jpg"/>
        <xdr:cNvPicPr/>
      </xdr:nvPicPr>
      <xdr:blipFill>
        <a:blip r:embed="rId4" cstate="screen"/>
        <a:srcRect/>
        <a:stretch>
          <a:fillRect/>
        </a:stretch>
      </xdr:blipFill>
      <xdr:spPr>
        <a:xfrm>
          <a:off x="5351780" y="8522335"/>
          <a:ext cx="1229360" cy="8191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7" name="ID_FFFE14E325A641618CA1CB380C800BAD"/>
        <xdr:cNvPicPr/>
      </xdr:nvPicPr>
      <xdr:blipFill>
        <a:blip r:embed="rId5" cstate="screen"/>
        <a:srcRect/>
        <a:stretch>
          <a:fillRect/>
        </a:stretch>
      </xdr:blipFill>
      <xdr:spPr>
        <a:xfrm>
          <a:off x="5269230" y="62830075"/>
          <a:ext cx="1387475" cy="923925"/>
        </a:xfrm>
        <a:prstGeom prst="rect">
          <a:avLst/>
        </a:prstGeom>
        <a:noFill/>
      </xdr:spPr>
    </xdr:pic>
  </etc:cellImage>
  <etc:cellImage>
    <xdr:pic>
      <xdr:nvPicPr>
        <xdr:cNvPr id="132" name="ID_4E9DB6543CB247AD99DC73EE695BC7C4" descr="D:\F\李竹雨\文物库房\2014年文物征集\2014年征集文物图片集合\T859 雍正乾隆 无款贴花狮钮六方壶.jpg"/>
        <xdr:cNvPicPr/>
      </xdr:nvPicPr>
      <xdr:blipFill>
        <a:blip r:embed="rId6" cstate="screen"/>
        <a:srcRect/>
        <a:stretch>
          <a:fillRect/>
        </a:stretch>
      </xdr:blipFill>
      <xdr:spPr>
        <a:xfrm>
          <a:off x="5602605" y="45504100"/>
          <a:ext cx="1061720" cy="7073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6" name="ID_92DB5381195641239727250E242EAF12" descr="D:\命名图片包\文物\694 清康熙五彩描金花鸟纹茶壶\IMG_0727.jpg"/>
        <xdr:cNvPicPr/>
      </xdr:nvPicPr>
      <xdr:blipFill>
        <a:blip r:embed="rId7" cstate="screen"/>
        <a:srcRect/>
        <a:stretch>
          <a:fillRect/>
        </a:stretch>
      </xdr:blipFill>
      <xdr:spPr>
        <a:xfrm>
          <a:off x="5245100" y="25802590"/>
          <a:ext cx="1423670" cy="9486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8" name="ID_831A321137F141A09CCE7C22534A8F85" descr="D:\F\李竹雨\文物库房\临时展览\2007年展览\2007澳门展\精品申报书\展品彩色照片\ZZ31 “婺北凤眉”包装纸.JPG"/>
        <xdr:cNvPicPr/>
      </xdr:nvPicPr>
      <xdr:blipFill>
        <a:blip r:embed="rId8" cstate="screen"/>
        <a:srcRect l="8095" r="13095"/>
        <a:stretch>
          <a:fillRect/>
        </a:stretch>
      </xdr:blipFill>
      <xdr:spPr>
        <a:xfrm>
          <a:off x="5372100" y="7687945"/>
          <a:ext cx="956945" cy="8096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8" name="ID_BCE42A73926B42DFB6223F8793A24DE7"/>
        <xdr:cNvPicPr/>
      </xdr:nvPicPr>
      <xdr:blipFill>
        <a:blip r:embed="rId9" cstate="screen"/>
        <a:srcRect/>
        <a:stretch>
          <a:fillRect/>
        </a:stretch>
      </xdr:blipFill>
      <xdr:spPr>
        <a:xfrm>
          <a:off x="5311140" y="71732775"/>
          <a:ext cx="1374140" cy="1009650"/>
        </a:xfrm>
        <a:prstGeom prst="rect">
          <a:avLst/>
        </a:prstGeom>
        <a:noFill/>
      </xdr:spPr>
    </xdr:pic>
  </etc:cellImage>
  <etc:cellImage>
    <xdr:pic>
      <xdr:nvPicPr>
        <xdr:cNvPr id="145" name="ID_F198B3EA25AD4343BB95D384BE44638A" descr="D:\F\李竹雨\文物库房\临时展览\2007年展览\2007澳门展\澳门展览电子文本\593 清康熙青花如意云头纹茶叶瓶.JPG"/>
        <xdr:cNvPicPr/>
      </xdr:nvPicPr>
      <xdr:blipFill>
        <a:blip r:embed="rId10" cstate="screen"/>
        <a:srcRect/>
        <a:stretch>
          <a:fillRect/>
        </a:stretch>
      </xdr:blipFill>
      <xdr:spPr>
        <a:xfrm>
          <a:off x="5545455" y="60325000"/>
          <a:ext cx="907415" cy="12096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0" name="ID_8BFCDACB10D2425CB7185AA1A3B93B0C" descr="D:\F\李竹雨\文物库房\2014年文物征集\2014年征集文物图片集合\T857雍正乾隆 印花锦地龙纹茶叶罐.jpg"/>
        <xdr:cNvPicPr/>
      </xdr:nvPicPr>
      <xdr:blipFill>
        <a:blip r:embed="rId11" cstate="screen"/>
        <a:srcRect r="45560"/>
        <a:stretch>
          <a:fillRect/>
        </a:stretch>
      </xdr:blipFill>
      <xdr:spPr>
        <a:xfrm>
          <a:off x="5669280" y="42751375"/>
          <a:ext cx="852805" cy="10445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0" name="ID_BF971C240B1C4CC48F132E1631F9BACB" descr="E:\外销展\ZZ16 清同治釐照.jpg"/>
        <xdr:cNvPicPr/>
      </xdr:nvPicPr>
      <xdr:blipFill>
        <a:blip r:embed="rId12" cstate="screen"/>
        <a:srcRect/>
        <a:stretch>
          <a:fillRect/>
        </a:stretch>
      </xdr:blipFill>
      <xdr:spPr>
        <a:xfrm>
          <a:off x="5545455" y="23263225"/>
          <a:ext cx="809625" cy="1203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6" name="ID_C3B6455039E049E99B1A8A11C7317226"/>
        <xdr:cNvPicPr/>
      </xdr:nvPicPr>
      <xdr:blipFill>
        <a:blip r:embed="rId13" cstate="screen"/>
        <a:srcRect/>
        <a:stretch>
          <a:fillRect/>
        </a:stretch>
      </xdr:blipFill>
      <xdr:spPr>
        <a:xfrm>
          <a:off x="5360670" y="6021705"/>
          <a:ext cx="1085215" cy="721360"/>
        </a:xfrm>
        <a:prstGeom prst="rect">
          <a:avLst/>
        </a:prstGeom>
        <a:noFill/>
      </xdr:spPr>
    </xdr:pic>
  </etc:cellImage>
  <etc:cellImage>
    <xdr:pic>
      <xdr:nvPicPr>
        <xdr:cNvPr id="143" name="ID_FF4D3E25517346CE9D15084E64C5A664" descr="D:\F\李竹雨\文物库房\临时展览\2007年展览\2007澳门展\澳门展览电子文本\566、567、568、569 清康熙青花山水人物纹盏托一对  .JPG"/>
        <xdr:cNvPicPr/>
      </xdr:nvPicPr>
      <xdr:blipFill>
        <a:blip r:embed="rId14" cstate="screen"/>
        <a:srcRect/>
        <a:stretch>
          <a:fillRect/>
        </a:stretch>
      </xdr:blipFill>
      <xdr:spPr>
        <a:xfrm>
          <a:off x="5412105" y="58181875"/>
          <a:ext cx="1323975" cy="8826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7" name="ID_E7B78F74865449BFAAD06742DBAC31B1" descr="D:\命名图片包\文物\794 晚清竹节纹双耳银糖缸\IMG_8045.jpg"/>
        <xdr:cNvPicPr/>
      </xdr:nvPicPr>
      <xdr:blipFill>
        <a:blip r:embed="rId15" cstate="screen"/>
        <a:srcRect/>
        <a:stretch>
          <a:fillRect/>
        </a:stretch>
      </xdr:blipFill>
      <xdr:spPr>
        <a:xfrm>
          <a:off x="5402580" y="40570150"/>
          <a:ext cx="1330960" cy="88773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8" name="ID_FBB5EA7D0D284FFFAEAB5453712B6D67" descr="C:\Users\lenovo\AppData\Local\Temp\WeChat Files\8a973bd4d71c55e186f4fb070ec2b74.jpg"/>
        <xdr:cNvPicPr/>
      </xdr:nvPicPr>
      <xdr:blipFill>
        <a:blip r:embed="rId16" cstate="screen"/>
        <a:srcRect/>
        <a:stretch>
          <a:fillRect/>
        </a:stretch>
      </xdr:blipFill>
      <xdr:spPr>
        <a:xfrm>
          <a:off x="5574030" y="20881975"/>
          <a:ext cx="781050" cy="10407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5" name="ID_490C2106395B4BC59AEFCE05FEFD3619" descr="D:\F\李竹雨\文物库房\临时展览\2007年展览\2007澳门展\精品申报书\展品彩色照片\ZZ42 晚清“眼生熙春”茶叶包装纸.JPG"/>
        <xdr:cNvPicPr/>
      </xdr:nvPicPr>
      <xdr:blipFill>
        <a:blip r:embed="rId17" cstate="screen"/>
        <a:srcRect l="7306" t="9241" r="6850" b="6161"/>
        <a:stretch>
          <a:fillRect/>
        </a:stretch>
      </xdr:blipFill>
      <xdr:spPr>
        <a:xfrm>
          <a:off x="5387340" y="4953000"/>
          <a:ext cx="977900" cy="6191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3" name="ID_87B20F674A644E9597B9FE9D04709335" descr="D:\当前工作\原创展览原始文件包\绿色黄金\清乾隆青花人物纹壶\f2f3ef63f7360e7fc831a6377be441b.jpg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5430" y="55838090"/>
          <a:ext cx="1368425" cy="1050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5" name="ID_41DAF3C9CA374A669A3B391072FFAC89" descr="D:\F\李竹雨\文物库房\临时展览\2007年展览\2007澳门展\澳门展览电子文本\528 清粉彩描金西洋人物纹茶壶.JPG"/>
        <xdr:cNvPicPr/>
      </xdr:nvPicPr>
      <xdr:blipFill>
        <a:blip r:embed="rId19" cstate="screen"/>
        <a:srcRect/>
        <a:stretch>
          <a:fillRect/>
        </a:stretch>
      </xdr:blipFill>
      <xdr:spPr>
        <a:xfrm>
          <a:off x="5431155" y="38331775"/>
          <a:ext cx="1297940" cy="8680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6" name="ID_36A9800A47D14112AE567CE1783BE242" descr="D:\命名图片包\文物\692 清雍正粉彩花篮纹带托把杯\IMG_0517.JPG"/>
        <xdr:cNvPicPr/>
      </xdr:nvPicPr>
      <xdr:blipFill>
        <a:blip r:embed="rId20" cstate="screen"/>
        <a:srcRect/>
        <a:stretch>
          <a:fillRect/>
        </a:stretch>
      </xdr:blipFill>
      <xdr:spPr>
        <a:xfrm>
          <a:off x="5319395" y="18805525"/>
          <a:ext cx="1370965" cy="9137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4" name="ID_D6BBE8676CB14583B3291856800460ED" descr="C:\Users\lenovo\AppData\Local\Temp\WeChat Files\0f787378134e7e6385d60c1c171c610.png"/>
        <xdr:cNvPicPr/>
      </xdr:nvPicPr>
      <xdr:blipFill>
        <a:blip r:embed="rId21" cstate="screen"/>
        <a:srcRect/>
        <a:stretch>
          <a:fillRect/>
        </a:stretch>
      </xdr:blipFill>
      <xdr:spPr>
        <a:xfrm>
          <a:off x="5539740" y="1238250"/>
          <a:ext cx="589280" cy="10477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8" name="ID_56F07EA6D683477180E0478D09755ED0" descr="D:\命名图片包\文物\640清银点蓝喜上眉梢纹盖罐\640-A-1.jpg"/>
        <xdr:cNvPicPr/>
      </xdr:nvPicPr>
      <xdr:blipFill>
        <a:blip r:embed="rId22" cstate="screen"/>
        <a:srcRect/>
        <a:stretch>
          <a:fillRect/>
        </a:stretch>
      </xdr:blipFill>
      <xdr:spPr>
        <a:xfrm>
          <a:off x="5593080" y="64106425"/>
          <a:ext cx="914400" cy="13716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3" name="ID_ABC54B1909B04F88BAF0E9CE14529CD0" descr="D:\F\李竹雨\文物库房\2014年文物征集\2014年征集文物图片集合\T860 雍正乾隆 贴花喜上眉梢盖碗.jpg"/>
        <xdr:cNvPicPr/>
      </xdr:nvPicPr>
      <xdr:blipFill>
        <a:blip r:embed="rId23" cstate="screen"/>
        <a:srcRect/>
        <a:stretch>
          <a:fillRect/>
        </a:stretch>
      </xdr:blipFill>
      <xdr:spPr>
        <a:xfrm>
          <a:off x="5488305" y="46599475"/>
          <a:ext cx="1181100" cy="7874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7" name="ID_A64E66B004274CF098703B84A0FD8CC7" descr="D:\命名图片包\文物\799 清康熙外紫金内青花盏托\CHE57441.jpg"/>
        <xdr:cNvPicPr/>
      </xdr:nvPicPr>
      <xdr:blipFill>
        <a:blip r:embed="rId24" cstate="screen"/>
        <a:srcRect/>
        <a:stretch>
          <a:fillRect/>
        </a:stretch>
      </xdr:blipFill>
      <xdr:spPr>
        <a:xfrm>
          <a:off x="5346700" y="27047190"/>
          <a:ext cx="1372870" cy="74168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8" name="ID_A9C8B14AE0EB4C3082098DA801C13540"/>
        <xdr:cNvPicPr/>
      </xdr:nvPicPr>
      <xdr:blipFill>
        <a:blip r:embed="rId25" cstate="screen"/>
        <a:srcRect/>
        <a:stretch>
          <a:fillRect/>
        </a:stretch>
      </xdr:blipFill>
      <xdr:spPr>
        <a:xfrm>
          <a:off x="5053965" y="11132820"/>
          <a:ext cx="1524000" cy="930275"/>
        </a:xfrm>
        <a:prstGeom prst="rect">
          <a:avLst/>
        </a:prstGeom>
        <a:noFill/>
      </xdr:spPr>
    </xdr:pic>
  </etc:cellImage>
  <etc:cellImage>
    <xdr:pic>
      <xdr:nvPicPr>
        <xdr:cNvPr id="89" name="ID_1C9DC52574B34676AD56559496AB67AD" descr="D:\F\李竹雨\文物库房\临时展览\2007年展览\2007澳门展\精品申报书\展品彩色照片\ZZ30 “婺北蔴珠”包装纸.JPG"/>
        <xdr:cNvPicPr/>
      </xdr:nvPicPr>
      <xdr:blipFill>
        <a:blip r:embed="rId26" cstate="screen"/>
        <a:srcRect l="15534" r="6890"/>
        <a:stretch>
          <a:fillRect/>
        </a:stretch>
      </xdr:blipFill>
      <xdr:spPr>
        <a:xfrm>
          <a:off x="5452745" y="7442200"/>
          <a:ext cx="1028700" cy="8839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6" name="ID_7BAB2C41520E4933832BCEBA1540CD82" descr="D:\F\李竹雨\文物库房\临时展览\2007年展览\2007澳门展\澳门展览电子文本\602、603 清康熙米黄地五彩花鸟盏托.JPG"/>
        <xdr:cNvPicPr/>
      </xdr:nvPicPr>
      <xdr:blipFill>
        <a:blip r:embed="rId27" cstate="screen"/>
        <a:srcRect/>
        <a:stretch>
          <a:fillRect/>
        </a:stretch>
      </xdr:blipFill>
      <xdr:spPr>
        <a:xfrm>
          <a:off x="5412105" y="61820425"/>
          <a:ext cx="1128395" cy="7524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1" name="ID_1A37BDA5AC054F129B0FF2C30194AAAA" descr="D:\F\李竹雨\文物库房\2014年文物征集\2014年征集文物图片集合\T858康熙 太师少师钮贴花夔龙纹大壶.JPG"/>
        <xdr:cNvPicPr/>
      </xdr:nvPicPr>
      <xdr:blipFill>
        <a:blip r:embed="rId28" cstate="screen"/>
        <a:srcRect/>
        <a:stretch>
          <a:fillRect/>
        </a:stretch>
      </xdr:blipFill>
      <xdr:spPr>
        <a:xfrm>
          <a:off x="5564505" y="44113450"/>
          <a:ext cx="1059180" cy="9207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5" name="ID_4F935A8FD4484994BFECEE2FC3B80F4C" descr="E:\新建文件夹\685 清康熙青花矾红加金茶壶\IMG_0300.JPG"/>
        <xdr:cNvPicPr/>
      </xdr:nvPicPr>
      <xdr:blipFill>
        <a:blip r:embed="rId29" cstate="screen"/>
        <a:srcRect/>
        <a:stretch>
          <a:fillRect/>
        </a:stretch>
      </xdr:blipFill>
      <xdr:spPr>
        <a:xfrm>
          <a:off x="5314950" y="24697690"/>
          <a:ext cx="1344930" cy="90995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7" name="ID_86B16AFDEF904B2D8404AD27B9140A92"/>
        <xdr:cNvPicPr/>
      </xdr:nvPicPr>
      <xdr:blipFill>
        <a:blip r:embed="rId13" cstate="screen"/>
        <a:srcRect/>
        <a:stretch>
          <a:fillRect/>
        </a:stretch>
      </xdr:blipFill>
      <xdr:spPr>
        <a:xfrm>
          <a:off x="5374005" y="6911340"/>
          <a:ext cx="1085215" cy="721360"/>
        </a:xfrm>
        <a:prstGeom prst="rect">
          <a:avLst/>
        </a:prstGeom>
        <a:noFill/>
      </xdr:spPr>
    </xdr:pic>
  </etc:cellImage>
  <etc:cellImage>
    <xdr:pic>
      <xdr:nvPicPr>
        <xdr:cNvPr id="144" name="ID_D3492D1723564CC08ADE5942750EC1FA" descr="D:\F\李竹雨\文物库房\临时展览\2007年展览\2007澳门展\澳门展览电子文本\583、584 清道光粉彩人物盏托.JPG"/>
        <xdr:cNvPicPr/>
      </xdr:nvPicPr>
      <xdr:blipFill>
        <a:blip r:embed="rId30" cstate="screen"/>
        <a:srcRect/>
        <a:stretch>
          <a:fillRect/>
        </a:stretch>
      </xdr:blipFill>
      <xdr:spPr>
        <a:xfrm>
          <a:off x="5497830" y="59258200"/>
          <a:ext cx="1266825" cy="8445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9" name="ID_56D68788E0FB4044B20339A6F7AF79BC" descr="D:\F\李竹雨\文物库房\2014年文物征集\2014年征集文物图片集合\T856 康熙 贴花镂空万字梅竹双清椭圆壶.jpg"/>
        <xdr:cNvPicPr/>
      </xdr:nvPicPr>
      <xdr:blipFill>
        <a:blip r:embed="rId31" cstate="screen"/>
        <a:srcRect/>
        <a:stretch>
          <a:fillRect/>
        </a:stretch>
      </xdr:blipFill>
      <xdr:spPr>
        <a:xfrm>
          <a:off x="5469255" y="41760775"/>
          <a:ext cx="1176020" cy="7842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9" name="ID_C2FDFF66414B4338B5923790B8AA0C00"/>
        <xdr:cNvPicPr/>
      </xdr:nvPicPr>
      <xdr:blipFill>
        <a:blip r:embed="rId32" cstate="screen"/>
        <a:stretch>
          <a:fillRect/>
        </a:stretch>
      </xdr:blipFill>
      <xdr:spPr>
        <a:xfrm>
          <a:off x="5554980" y="22091650"/>
          <a:ext cx="854075" cy="1018540"/>
        </a:xfrm>
        <a:prstGeom prst="rect">
          <a:avLst/>
        </a:prstGeom>
      </xdr:spPr>
    </xdr:pic>
  </etc:cellImage>
  <etc:cellImage>
    <xdr:pic>
      <xdr:nvPicPr>
        <xdr:cNvPr id="156" name="ID_B7F1A5A2D41E432D97FB4A62680270EA" descr="E:\临展档案\2021年\0088 祁门2号.jpg"/>
        <xdr:cNvPicPr/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7035" y="3520440"/>
          <a:ext cx="742950" cy="9048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2" name="ID_7840ED9AD7F342E69030F4195DE3CC9B" descr="D:\F\李竹雨\文物库房\临时展览\2007年展览\2007澳门展\澳门展览电子文本\563 清嘉庆松石地粉彩勾莲纹海棠式茶盘.JPG"/>
        <xdr:cNvPicPr/>
      </xdr:nvPicPr>
      <xdr:blipFill>
        <a:blip r:embed="rId34" cstate="screen"/>
        <a:srcRect/>
        <a:stretch>
          <a:fillRect/>
        </a:stretch>
      </xdr:blipFill>
      <xdr:spPr>
        <a:xfrm rot="10800000">
          <a:off x="5402580" y="57143650"/>
          <a:ext cx="1219200" cy="9144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6" name="ID_6D88F36830894316B5AB370CA2EF38F2" descr="D:\命名图片包\文物\J195 1898年英国银质奶杯\IMG_8033.jpg"/>
        <xdr:cNvPicPr/>
      </xdr:nvPicPr>
      <xdr:blipFill>
        <a:blip r:embed="rId35" cstate="screen"/>
        <a:srcRect/>
        <a:stretch>
          <a:fillRect/>
        </a:stretch>
      </xdr:blipFill>
      <xdr:spPr>
        <a:xfrm>
          <a:off x="5393055" y="39531925"/>
          <a:ext cx="1214755" cy="8096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7" name="ID_981E4121E9DB4B238D3490669A135683" descr="D:\命名图片包\文物\1089 清茶叶外销画\1089 1800年外销水彩茶画第十张1.JPG"/>
        <xdr:cNvPicPr/>
      </xdr:nvPicPr>
      <xdr:blipFill>
        <a:blip r:embed="rId36" cstate="screen"/>
        <a:srcRect l="9756" r="7777" b="1256"/>
        <a:stretch>
          <a:fillRect/>
        </a:stretch>
      </xdr:blipFill>
      <xdr:spPr>
        <a:xfrm>
          <a:off x="5383530" y="19843750"/>
          <a:ext cx="1121410" cy="8953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7" name="ID_6B67D696CACF4C4894702E9BF3848421" descr="H:\书\中国名茶图典\第六章 中国名茶图录\第二节 红茶\工夫红茶、小种红茶、红碎茶这三个是不是要有个代表\图72：祁门红茶.JPG"/>
        <xdr:cNvPicPr/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7340" y="2588895"/>
          <a:ext cx="1052195" cy="635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0" name="ID_27B9FF11DE4A44F7A2E3D95D187CC09B" descr="D:\F\李竹雨\文物库房\临时展览\2007年展览\2007澳门展\澳门展览电子文本\624-627 清铜胎画珐琅冰梅纹盏托一对.JPG"/>
        <xdr:cNvPicPr/>
      </xdr:nvPicPr>
      <xdr:blipFill>
        <a:blip r:embed="rId38" cstate="screen"/>
        <a:srcRect/>
        <a:stretch>
          <a:fillRect/>
        </a:stretch>
      </xdr:blipFill>
      <xdr:spPr>
        <a:xfrm>
          <a:off x="5342890" y="67033775"/>
          <a:ext cx="1371600" cy="9144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5" name="ID_E527720799474DFDBB12A1BB412D02A2" descr="D:\F\李竹雨\文物库房\2015年文物征集\2015入账文物图片集合\T903清初外销青花茶壶\IMG_9324.jpg"/>
        <xdr:cNvPicPr/>
      </xdr:nvPicPr>
      <xdr:blipFill>
        <a:blip r:embed="rId39" cstate="screen"/>
        <a:srcRect/>
        <a:stretch>
          <a:fillRect/>
        </a:stretch>
      </xdr:blipFill>
      <xdr:spPr>
        <a:xfrm>
          <a:off x="5478780" y="48847375"/>
          <a:ext cx="1026795" cy="6858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9" name="ID_34BD7D667E6B4CD586E19481CB31E980"/>
        <xdr:cNvPicPr/>
      </xdr:nvPicPr>
      <xdr:blipFill>
        <a:blip r:embed="rId40" cstate="screen"/>
        <a:srcRect/>
        <a:stretch>
          <a:fillRect/>
        </a:stretch>
      </xdr:blipFill>
      <xdr:spPr>
        <a:xfrm>
          <a:off x="5440680" y="29991050"/>
          <a:ext cx="1232535" cy="821055"/>
        </a:xfrm>
        <a:prstGeom prst="rect">
          <a:avLst/>
        </a:prstGeom>
        <a:noFill/>
      </xdr:spPr>
    </xdr:pic>
  </etc:cellImage>
  <etc:cellImage>
    <xdr:pic>
      <xdr:nvPicPr>
        <xdr:cNvPr id="99" name="ID_C2882E864CF04B33BD27CE5274133262"/>
        <xdr:cNvPicPr/>
      </xdr:nvPicPr>
      <xdr:blipFill>
        <a:blip r:embed="rId41" cstate="screen"/>
        <a:srcRect/>
        <a:stretch>
          <a:fillRect/>
        </a:stretch>
      </xdr:blipFill>
      <xdr:spPr>
        <a:xfrm>
          <a:off x="5214620" y="10661650"/>
          <a:ext cx="1223645" cy="815975"/>
        </a:xfrm>
        <a:prstGeom prst="rect">
          <a:avLst/>
        </a:prstGeom>
        <a:noFill/>
      </xdr:spPr>
    </xdr:pic>
  </etc:cellImage>
  <etc:cellImage>
    <xdr:pic>
      <xdr:nvPicPr>
        <xdr:cNvPr id="152" name="ID_0A459749E2634F97AB5CD0629276FD31" descr="D:\命名图片包\文物\J194 1898年英国银质茶壶\IMG_8028.jpg"/>
        <xdr:cNvPicPr/>
      </xdr:nvPicPr>
      <xdr:blipFill>
        <a:blip r:embed="rId42" cstate="screen"/>
        <a:srcRect/>
        <a:stretch>
          <a:fillRect/>
        </a:stretch>
      </xdr:blipFill>
      <xdr:spPr>
        <a:xfrm>
          <a:off x="5469255" y="69475350"/>
          <a:ext cx="1137920" cy="7588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6" name="ID_AAA291B11682431A8341144388C97CA3" descr="D:\F\李竹雨\文物库房\2014年文物征集\2014年征集文物图片集合\T865 乾隆 酱釉杯连托（换）.jpg"/>
        <xdr:cNvPicPr/>
      </xdr:nvPicPr>
      <xdr:blipFill>
        <a:blip r:embed="rId43" cstate="screen"/>
        <a:srcRect/>
        <a:stretch>
          <a:fillRect/>
        </a:stretch>
      </xdr:blipFill>
      <xdr:spPr>
        <a:xfrm>
          <a:off x="5478780" y="49752250"/>
          <a:ext cx="1143635" cy="762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0" name="ID_6AF28EEF55F24CBE8C8C5549EE7C2567"/>
        <xdr:cNvPicPr/>
      </xdr:nvPicPr>
      <xdr:blipFill>
        <a:blip r:embed="rId44" cstate="screen"/>
        <a:srcRect/>
        <a:stretch>
          <a:fillRect/>
        </a:stretch>
      </xdr:blipFill>
      <xdr:spPr>
        <a:xfrm>
          <a:off x="5469255" y="31696025"/>
          <a:ext cx="1197610" cy="798195"/>
        </a:xfrm>
        <a:prstGeom prst="rect">
          <a:avLst/>
        </a:prstGeom>
        <a:noFill/>
      </xdr:spPr>
    </xdr:pic>
  </etc:cellImage>
  <etc:cellImage>
    <xdr:pic>
      <xdr:nvPicPr>
        <xdr:cNvPr id="2" name="ID_56A6E8C11F04433DBE647B2DA2B62B3A" descr="D:\F\李竹雨\文物库房\临时展览\2007年展览\2007澳门展\澳门展览电子文本\606 清斗彩加金缠枝牡丹纹茶叶瓶.JPG"/>
        <xdr:cNvPicPr/>
      </xdr:nvPicPr>
      <xdr:blipFill>
        <a:blip r:embed="rId45" cstate="screen"/>
        <a:srcRect/>
        <a:stretch>
          <a:fillRect/>
        </a:stretch>
      </xdr:blipFill>
      <xdr:spPr>
        <a:xfrm>
          <a:off x="5537835" y="11691620"/>
          <a:ext cx="825500" cy="12382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7" name="ID_49370B01C0C24A6795173930618A742D"/>
        <xdr:cNvPicPr/>
      </xdr:nvPicPr>
      <xdr:blipFill>
        <a:blip r:embed="rId46" cstate="screen"/>
        <a:srcRect/>
        <a:stretch>
          <a:fillRect/>
        </a:stretch>
      </xdr:blipFill>
      <xdr:spPr>
        <a:xfrm>
          <a:off x="5497830" y="50609500"/>
          <a:ext cx="1195070" cy="797560"/>
        </a:xfrm>
        <a:prstGeom prst="rect">
          <a:avLst/>
        </a:prstGeom>
        <a:noFill/>
      </xdr:spPr>
    </xdr:pic>
  </etc:cellImage>
  <etc:cellImage>
    <xdr:pic>
      <xdr:nvPicPr>
        <xdr:cNvPr id="121" name="ID_218D8A71B6CF4385B7B74D436815BD11" descr="D:\E\精品图录2010年11月26日\清代\69、T378-T385 清青花加金彩山水人物纹茶具一组\69、清青花加金彩山水人物纹茶具一组2.JPG"/>
        <xdr:cNvPicPr/>
      </xdr:nvPicPr>
      <xdr:blipFill>
        <a:blip r:embed="rId47" cstate="screen"/>
        <a:srcRect/>
        <a:stretch>
          <a:fillRect/>
        </a:stretch>
      </xdr:blipFill>
      <xdr:spPr>
        <a:xfrm>
          <a:off x="5326380" y="32781875"/>
          <a:ext cx="1356995" cy="9048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1" name="ID_BC64AA08E85D4AF2A6F142B7415838CA" descr="D:\命名图片包\文物\1007 清粉彩徵章瓷盖瓶\IMG_1196.JPG"/>
        <xdr:cNvPicPr/>
      </xdr:nvPicPr>
      <xdr:blipFill>
        <a:blip r:embed="rId48" cstate="screen"/>
        <a:srcRect/>
        <a:stretch>
          <a:fillRect/>
        </a:stretch>
      </xdr:blipFill>
      <xdr:spPr>
        <a:xfrm>
          <a:off x="5176520" y="13014325"/>
          <a:ext cx="1481455" cy="9874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8" name="ID_1D9E489D61C845AA99C8E4A59AB3DBA3"/>
        <xdr:cNvPicPr/>
      </xdr:nvPicPr>
      <xdr:blipFill>
        <a:blip r:embed="rId49"/>
        <a:srcRect/>
        <a:stretch>
          <a:fillRect/>
        </a:stretch>
      </xdr:blipFill>
      <xdr:spPr>
        <a:xfrm>
          <a:off x="5364480" y="51485800"/>
          <a:ext cx="1335405" cy="1000125"/>
        </a:xfrm>
        <a:prstGeom prst="rect">
          <a:avLst/>
        </a:prstGeom>
        <a:noFill/>
      </xdr:spPr>
    </xdr:pic>
  </etc:cellImage>
  <etc:cellImage>
    <xdr:pic>
      <xdr:nvPicPr>
        <xdr:cNvPr id="122" name="ID_F411158B1F3A446BB45868DE64BAA9A6" descr="D:\F\李竹雨\文物库房\2008年征集清单\英国银器\T136晚清花卉纹银塘缸.JPG"/>
        <xdr:cNvPicPr/>
      </xdr:nvPicPr>
      <xdr:blipFill>
        <a:blip r:embed="rId50" cstate="screen"/>
        <a:srcRect/>
        <a:stretch>
          <a:fillRect/>
        </a:stretch>
      </xdr:blipFill>
      <xdr:spPr>
        <a:xfrm>
          <a:off x="5384165" y="33989645"/>
          <a:ext cx="1381125" cy="9207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2" name="ID_C2573738E39242C7A2D40B3DFC1DF9AF" descr="D:\命名图片包\文物\1006 清粉彩花卉纹六方茶叶瓶\IMG_1189.JPG"/>
        <xdr:cNvPicPr/>
      </xdr:nvPicPr>
      <xdr:blipFill>
        <a:blip r:embed="rId51" cstate="screen"/>
        <a:srcRect/>
        <a:stretch>
          <a:fillRect/>
        </a:stretch>
      </xdr:blipFill>
      <xdr:spPr>
        <a:xfrm>
          <a:off x="5262245" y="14281150"/>
          <a:ext cx="1423670" cy="9486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9" name="ID_CD613E2130074FFE8927143C021378E2" descr="D:\F\李竹雨\文物库房\2014年文物征集\2014年征集文物图片集合\T862 乾隆 粉彩松鹿延年八角杯连托.jpg"/>
        <xdr:cNvPicPr/>
      </xdr:nvPicPr>
      <xdr:blipFill>
        <a:blip r:embed="rId52" cstate="screen"/>
        <a:srcRect/>
        <a:stretch>
          <a:fillRect/>
        </a:stretch>
      </xdr:blipFill>
      <xdr:spPr>
        <a:xfrm>
          <a:off x="5488305" y="52647850"/>
          <a:ext cx="1156970" cy="77089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3" name="ID_6B65CD20156246BFA5A8B3F3C93D5A0C"/>
        <xdr:cNvPicPr/>
      </xdr:nvPicPr>
      <xdr:blipFill>
        <a:blip r:embed="rId53" cstate="screen"/>
        <a:srcRect/>
        <a:stretch>
          <a:fillRect/>
        </a:stretch>
      </xdr:blipFill>
      <xdr:spPr>
        <a:xfrm>
          <a:off x="5526405" y="35096450"/>
          <a:ext cx="1249680" cy="9372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3" name="ID_4744D54526084CDFAE3DEF6D867DC533" descr="D:\命名图片包\文物\971(J171) 清铜胎画珐琅黄地开光人物纹茶盘\IMG_0643.jpg"/>
        <xdr:cNvPicPr/>
      </xdr:nvPicPr>
      <xdr:blipFill>
        <a:blip r:embed="rId54" cstate="screen"/>
        <a:srcRect/>
        <a:stretch>
          <a:fillRect/>
        </a:stretch>
      </xdr:blipFill>
      <xdr:spPr>
        <a:xfrm>
          <a:off x="5252720" y="15462250"/>
          <a:ext cx="1540510" cy="9728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1" name="ID_D572F1AF4B52479989736B8FB53A56D5" descr="D:\F\李竹雨\文物库房\2008年征集清单\英国银器\J130-J132晚清雀竹纹银茶具.JPG"/>
        <xdr:cNvPicPr/>
      </xdr:nvPicPr>
      <xdr:blipFill>
        <a:blip r:embed="rId55" cstate="screen"/>
        <a:srcRect/>
        <a:stretch>
          <a:fillRect/>
        </a:stretch>
      </xdr:blipFill>
      <xdr:spPr>
        <a:xfrm>
          <a:off x="5282565" y="69408675"/>
          <a:ext cx="1352550" cy="9017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0" name="ID_D97042E120E14A0990E37D64D58975D3"/>
        <xdr:cNvPicPr/>
      </xdr:nvPicPr>
      <xdr:blipFill>
        <a:blip r:embed="rId56" cstate="screen"/>
        <a:srcRect l="-3472" t="21866" r="50000" b="12"/>
        <a:stretch>
          <a:fillRect/>
        </a:stretch>
      </xdr:blipFill>
      <xdr:spPr>
        <a:xfrm>
          <a:off x="5612130" y="53762275"/>
          <a:ext cx="733425" cy="71374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78FE5C74B69344F58E69B0ADB8853AF1" descr="D:\当前工作\原创展览原始文件包\绿色黄金\展品高清图\525清粉彩花卉纹桃形盖钮瓷茶壶\525-A-1.jpg"/>
        <xdr:cNvPicPr/>
      </xdr:nvPicPr>
      <xdr:blipFill>
        <a:blip r:embed="rId57" cstate="print"/>
        <a:srcRect/>
        <a:stretch>
          <a:fillRect/>
        </a:stretch>
      </xdr:blipFill>
      <xdr:spPr>
        <a:xfrm>
          <a:off x="5342890" y="36254055"/>
          <a:ext cx="1296035" cy="86296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4" name="ID_CC0082DC5EC7404E87699CE4C3014E88" descr="D:\命名图片包\文物\767 清铜胎画珐琅梅纹小壶\IMG_7996.jpg"/>
        <xdr:cNvPicPr/>
      </xdr:nvPicPr>
      <xdr:blipFill>
        <a:blip r:embed="rId58" cstate="screen"/>
        <a:srcRect/>
        <a:stretch>
          <a:fillRect/>
        </a:stretch>
      </xdr:blipFill>
      <xdr:spPr>
        <a:xfrm>
          <a:off x="5376545" y="16681450"/>
          <a:ext cx="1430655" cy="9950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1" name="ID_7B127AF6BB274471AD1365EE1AC3FAE4" descr="D:\F\李竹雨\文物库房\2016年文物征集\2016年5月文物征集图片\T970清青花矾红加金彩茶壶1.JPG"/>
        <xdr:cNvPicPr/>
      </xdr:nvPicPr>
      <xdr:blipFill>
        <a:blip r:embed="rId59" cstate="screen"/>
        <a:srcRect l="3978" t="22765" r="7414" b="9288"/>
        <a:stretch>
          <a:fillRect/>
        </a:stretch>
      </xdr:blipFill>
      <xdr:spPr>
        <a:xfrm>
          <a:off x="5469255" y="54571900"/>
          <a:ext cx="1056640" cy="108013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4" name="ID_2469B2844CFE41ADAF8E1B39201E383E" descr="D:\F\李竹雨\文物库房\临时展览\2007年展览\2007澳门展\澳门展览电子文本\527 清紫金釉地开光粉彩花卉纹茶壶.JPG"/>
        <xdr:cNvPicPr/>
      </xdr:nvPicPr>
      <xdr:blipFill>
        <a:blip r:embed="rId60" cstate="screen"/>
        <a:srcRect/>
        <a:stretch>
          <a:fillRect/>
        </a:stretch>
      </xdr:blipFill>
      <xdr:spPr>
        <a:xfrm>
          <a:off x="5394325" y="37216715"/>
          <a:ext cx="1278890" cy="8553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5" name="ID_C577460829964452BFFE339BFCCEE9B1" descr="D:\命名图片包\文物\693 清粉彩八宝花卉纹带托把杯\IMG_0513.JPG"/>
        <xdr:cNvPicPr/>
      </xdr:nvPicPr>
      <xdr:blipFill>
        <a:blip r:embed="rId61" cstate="screen"/>
        <a:srcRect/>
        <a:stretch>
          <a:fillRect/>
        </a:stretch>
      </xdr:blipFill>
      <xdr:spPr>
        <a:xfrm>
          <a:off x="5414645" y="17919065"/>
          <a:ext cx="1245235" cy="7905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2FFF388B5FE8445C8A7E988046BBDE12" descr="IMG_8061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5082540" y="67996435"/>
          <a:ext cx="1617980" cy="1078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4F438584DFAF479D8E8715984DA1BCC9" descr="IMG_8057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082540" y="69164835"/>
          <a:ext cx="1617980" cy="1078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14A73242C89A44FABB30E63D3AEA3000" descr="IMG_8065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082540" y="70333235"/>
          <a:ext cx="1617980" cy="10782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F4E56933CD6E47BF958E21DB092E63C5" descr="B10364.jpg"/>
        <xdr:cNvPicPr>
          <a:picLocks noChangeAspect="1"/>
        </xdr:cNvPicPr>
      </xdr:nvPicPr>
      <xdr:blipFill>
        <a:blip r:embed="rId65" cstate="print"/>
        <a:stretch>
          <a:fillRect/>
        </a:stretch>
      </xdr:blipFill>
      <xdr:spPr>
        <a:xfrm>
          <a:off x="5342890" y="11590020"/>
          <a:ext cx="1593850" cy="895350"/>
        </a:xfrm>
        <a:prstGeom prst="rect">
          <a:avLst/>
        </a:prstGeom>
      </xdr:spPr>
    </xdr:pic>
  </etc:cellImage>
  <etc:cellImage>
    <xdr:pic>
      <xdr:nvPicPr>
        <xdr:cNvPr id="23" name="ID_691AC360F98F4EB1AC4FAF2682EFA2C3" descr="B10358.jpg"/>
        <xdr:cNvPicPr>
          <a:picLocks noChangeAspect="1"/>
        </xdr:cNvPicPr>
      </xdr:nvPicPr>
      <xdr:blipFill>
        <a:blip r:embed="rId66" cstate="print"/>
        <a:stretch>
          <a:fillRect/>
        </a:stretch>
      </xdr:blipFill>
      <xdr:spPr>
        <a:xfrm>
          <a:off x="5359400" y="4759960"/>
          <a:ext cx="1577340" cy="905510"/>
        </a:xfrm>
        <a:prstGeom prst="rect">
          <a:avLst/>
        </a:prstGeom>
      </xdr:spPr>
    </xdr:pic>
  </etc:cellImage>
  <etc:cellImage>
    <xdr:pic>
      <xdr:nvPicPr>
        <xdr:cNvPr id="24" name="ID_CEA533272BB3437A987DB7B75C5ACC42" descr="B10362.jpg"/>
        <xdr:cNvPicPr>
          <a:picLocks noChangeAspect="1"/>
        </xdr:cNvPicPr>
      </xdr:nvPicPr>
      <xdr:blipFill>
        <a:blip r:embed="rId67" cstate="print"/>
        <a:stretch>
          <a:fillRect/>
        </a:stretch>
      </xdr:blipFill>
      <xdr:spPr>
        <a:xfrm>
          <a:off x="5312410" y="9284970"/>
          <a:ext cx="1624330" cy="909320"/>
        </a:xfrm>
        <a:prstGeom prst="rect">
          <a:avLst/>
        </a:prstGeom>
      </xdr:spPr>
    </xdr:pic>
  </etc:cellImage>
  <etc:cellImage>
    <xdr:pic>
      <xdr:nvPicPr>
        <xdr:cNvPr id="26" name="ID_4ED29B96B19347809DE9BEE025478CA5" descr="B10360.jpg"/>
        <xdr:cNvPicPr>
          <a:picLocks noChangeAspect="1"/>
        </xdr:cNvPicPr>
      </xdr:nvPicPr>
      <xdr:blipFill>
        <a:blip r:embed="rId68" cstate="print"/>
        <a:stretch>
          <a:fillRect/>
        </a:stretch>
      </xdr:blipFill>
      <xdr:spPr>
        <a:xfrm>
          <a:off x="5293360" y="7028180"/>
          <a:ext cx="1643380" cy="892810"/>
        </a:xfrm>
        <a:prstGeom prst="rect">
          <a:avLst/>
        </a:prstGeom>
      </xdr:spPr>
    </xdr:pic>
  </etc:cellImage>
  <etc:cellImage>
    <xdr:pic>
      <xdr:nvPicPr>
        <xdr:cNvPr id="27" name="ID_479868C1DB314DFC97B3A8F65BD762FD" descr="B10357.jpg"/>
        <xdr:cNvPicPr>
          <a:picLocks noChangeAspect="1"/>
        </xdr:cNvPicPr>
      </xdr:nvPicPr>
      <xdr:blipFill>
        <a:blip r:embed="rId69" cstate="print"/>
        <a:stretch>
          <a:fillRect/>
        </a:stretch>
      </xdr:blipFill>
      <xdr:spPr>
        <a:xfrm>
          <a:off x="5331460" y="3624580"/>
          <a:ext cx="1605280" cy="897255"/>
        </a:xfrm>
        <a:prstGeom prst="rect">
          <a:avLst/>
        </a:prstGeom>
      </xdr:spPr>
    </xdr:pic>
  </etc:cellImage>
  <etc:cellImage>
    <xdr:pic>
      <xdr:nvPicPr>
        <xdr:cNvPr id="28" name="ID_2048F11B5FC246BE9980A1C0BE729E0B" descr="B10359.jpg"/>
        <xdr:cNvPicPr>
          <a:picLocks noChangeAspect="1"/>
        </xdr:cNvPicPr>
      </xdr:nvPicPr>
      <xdr:blipFill>
        <a:blip r:embed="rId70" cstate="print"/>
        <a:stretch>
          <a:fillRect/>
        </a:stretch>
      </xdr:blipFill>
      <xdr:spPr>
        <a:xfrm>
          <a:off x="5321935" y="5918200"/>
          <a:ext cx="1614805" cy="889000"/>
        </a:xfrm>
        <a:prstGeom prst="rect">
          <a:avLst/>
        </a:prstGeom>
      </xdr:spPr>
    </xdr:pic>
  </etc:cellImage>
  <etc:cellImage>
    <xdr:pic>
      <xdr:nvPicPr>
        <xdr:cNvPr id="29" name="ID_757A05746A864C2E9C0D411771433F8F" descr="B10365.jpg"/>
        <xdr:cNvPicPr>
          <a:picLocks noChangeAspect="1"/>
        </xdr:cNvPicPr>
      </xdr:nvPicPr>
      <xdr:blipFill>
        <a:blip r:embed="rId71" cstate="print"/>
        <a:stretch>
          <a:fillRect/>
        </a:stretch>
      </xdr:blipFill>
      <xdr:spPr>
        <a:xfrm>
          <a:off x="5311775" y="12706985"/>
          <a:ext cx="1624965" cy="902335"/>
        </a:xfrm>
        <a:prstGeom prst="rect">
          <a:avLst/>
        </a:prstGeom>
      </xdr:spPr>
    </xdr:pic>
  </etc:cellImage>
  <etc:cellImage>
    <xdr:pic>
      <xdr:nvPicPr>
        <xdr:cNvPr id="30" name="ID_A9AD0CF36E6F4EBC917B9010845A5E14" descr="B10363.jpg"/>
        <xdr:cNvPicPr>
          <a:picLocks noChangeAspect="1"/>
        </xdr:cNvPicPr>
      </xdr:nvPicPr>
      <xdr:blipFill>
        <a:blip r:embed="rId72" cstate="print"/>
        <a:stretch>
          <a:fillRect/>
        </a:stretch>
      </xdr:blipFill>
      <xdr:spPr>
        <a:xfrm>
          <a:off x="5330825" y="10481310"/>
          <a:ext cx="1605915" cy="894080"/>
        </a:xfrm>
        <a:prstGeom prst="rect">
          <a:avLst/>
        </a:prstGeom>
      </xdr:spPr>
    </xdr:pic>
  </etc:cellImage>
  <etc:cellImage>
    <xdr:pic>
      <xdr:nvPicPr>
        <xdr:cNvPr id="31" name="ID_91A180ADFA1345C39A8E11F0D757F241" descr="B10361.jpg"/>
        <xdr:cNvPicPr>
          <a:picLocks noChangeAspect="1"/>
        </xdr:cNvPicPr>
      </xdr:nvPicPr>
      <xdr:blipFill>
        <a:blip r:embed="rId73" cstate="print"/>
        <a:stretch>
          <a:fillRect/>
        </a:stretch>
      </xdr:blipFill>
      <xdr:spPr>
        <a:xfrm>
          <a:off x="5312410" y="8111490"/>
          <a:ext cx="1624330" cy="948690"/>
        </a:xfrm>
        <a:prstGeom prst="rect">
          <a:avLst/>
        </a:prstGeom>
      </xdr:spPr>
    </xdr:pic>
  </etc:cellImage>
  <etc:cellImage>
    <xdr:pic>
      <xdr:nvPicPr>
        <xdr:cNvPr id="32" name="ID_AD3A501EBAB046AEB233767B26C17904" descr="B10366.jpg"/>
        <xdr:cNvPicPr>
          <a:picLocks noChangeAspect="1"/>
        </xdr:cNvPicPr>
      </xdr:nvPicPr>
      <xdr:blipFill>
        <a:blip r:embed="rId74" cstate="print"/>
        <a:stretch>
          <a:fillRect/>
        </a:stretch>
      </xdr:blipFill>
      <xdr:spPr>
        <a:xfrm>
          <a:off x="5340985" y="13841095"/>
          <a:ext cx="1595755" cy="950595"/>
        </a:xfrm>
        <a:prstGeom prst="rect">
          <a:avLst/>
        </a:prstGeom>
      </xdr:spPr>
    </xdr:pic>
  </etc:cellImage>
  <etc:cellImage>
    <xdr:pic>
      <xdr:nvPicPr>
        <xdr:cNvPr id="33" name="ID_27A0E0316E50416593BFCBC6568C4B71" descr="B10367.jpg"/>
        <xdr:cNvPicPr>
          <a:picLocks noChangeAspect="1"/>
        </xdr:cNvPicPr>
      </xdr:nvPicPr>
      <xdr:blipFill>
        <a:blip r:embed="rId75" cstate="print"/>
        <a:stretch>
          <a:fillRect/>
        </a:stretch>
      </xdr:blipFill>
      <xdr:spPr>
        <a:xfrm>
          <a:off x="5322570" y="14979015"/>
          <a:ext cx="1614170" cy="896620"/>
        </a:xfrm>
        <a:prstGeom prst="rect">
          <a:avLst/>
        </a:prstGeom>
      </xdr:spPr>
    </xdr:pic>
  </etc:cellImage>
  <etc:cellImage>
    <xdr:pic>
      <xdr:nvPicPr>
        <xdr:cNvPr id="34" name="ID_21326553DF224596B2073BAAB01FE741" descr="B10368.jpg"/>
        <xdr:cNvPicPr>
          <a:picLocks noChangeAspect="1"/>
        </xdr:cNvPicPr>
      </xdr:nvPicPr>
      <xdr:blipFill>
        <a:blip r:embed="rId76" cstate="print"/>
        <a:stretch>
          <a:fillRect/>
        </a:stretch>
      </xdr:blipFill>
      <xdr:spPr>
        <a:xfrm>
          <a:off x="5379085" y="16191230"/>
          <a:ext cx="1557655" cy="854710"/>
        </a:xfrm>
        <a:prstGeom prst="rect">
          <a:avLst/>
        </a:prstGeom>
      </xdr:spPr>
    </xdr:pic>
  </etc:cellImage>
  <etc:cellImage>
    <xdr:pic>
      <xdr:nvPicPr>
        <xdr:cNvPr id="36" name="ID_3E7242C2A149455394278F2C5E2853FF" descr="D30004.jpg"/>
        <xdr:cNvPicPr>
          <a:picLocks noChangeAspect="1"/>
        </xdr:cNvPicPr>
      </xdr:nvPicPr>
      <xdr:blipFill>
        <a:blip r:embed="rId77" cstate="print"/>
        <a:stretch>
          <a:fillRect/>
        </a:stretch>
      </xdr:blipFill>
      <xdr:spPr>
        <a:xfrm>
          <a:off x="5273040" y="71553705"/>
          <a:ext cx="1219200" cy="1014730"/>
        </a:xfrm>
        <a:prstGeom prst="rect">
          <a:avLst/>
        </a:prstGeom>
      </xdr:spPr>
    </xdr:pic>
  </etc:cellImage>
  <etc:cellImage>
    <xdr:pic>
      <xdr:nvPicPr>
        <xdr:cNvPr id="37" name="ID_9956717BE961451D90C5223A8896E47A" descr="D30005.jpg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5339715" y="73007220"/>
          <a:ext cx="1095375" cy="812165"/>
        </a:xfrm>
        <a:prstGeom prst="rect">
          <a:avLst/>
        </a:prstGeom>
      </xdr:spPr>
    </xdr:pic>
  </etc:cellImage>
  <etc:cellImage>
    <xdr:pic>
      <xdr:nvPicPr>
        <xdr:cNvPr id="38" name="ID_B8C59E518F95401A82AAFFA40FE566B8" descr="F10044-C385.jpg"/>
        <xdr:cNvPicPr>
          <a:picLocks noChangeAspect="1"/>
        </xdr:cNvPicPr>
      </xdr:nvPicPr>
      <xdr:blipFill>
        <a:blip r:embed="rId79" cstate="print"/>
        <a:srcRect t="22785" b="6751"/>
        <a:stretch>
          <a:fillRect/>
        </a:stretch>
      </xdr:blipFill>
      <xdr:spPr>
        <a:xfrm>
          <a:off x="5461000" y="85422740"/>
          <a:ext cx="904240" cy="956945"/>
        </a:xfrm>
        <a:prstGeom prst="rect">
          <a:avLst/>
        </a:prstGeom>
      </xdr:spPr>
    </xdr:pic>
  </etc:cellImage>
  <etc:cellImage>
    <xdr:pic>
      <xdr:nvPicPr>
        <xdr:cNvPr id="39" name="ID_AB41D5E29F954B11A848DD253F9E8D2D" descr="C:/Users/Administrator/AppData/Local/Temp/picturecompress_20210827095346/output_1.jpgoutput_1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5430520" y="86016465"/>
          <a:ext cx="964565" cy="662940"/>
        </a:xfrm>
        <a:prstGeom prst="rect">
          <a:avLst/>
        </a:prstGeom>
      </xdr:spPr>
    </xdr:pic>
  </etc:cellImage>
  <etc:cellImage>
    <xdr:pic>
      <xdr:nvPicPr>
        <xdr:cNvPr id="81" name="ID_05FF6B81A3EB474D8DCE6764CDD838AD"/>
        <xdr:cNvPicPr/>
      </xdr:nvPicPr>
      <xdr:blipFill>
        <a:blip r:embed="rId81"/>
        <a:stretch>
          <a:fillRect/>
        </a:stretch>
      </xdr:blipFill>
      <xdr:spPr>
        <a:xfrm>
          <a:off x="5501640" y="6505575"/>
          <a:ext cx="800100" cy="725170"/>
        </a:xfrm>
        <a:prstGeom prst="rect">
          <a:avLst/>
        </a:prstGeom>
      </xdr:spPr>
    </xdr:pic>
  </etc:cellImage>
  <etc:cellImage>
    <xdr:pic>
      <xdr:nvPicPr>
        <xdr:cNvPr id="76" name="ID_3494D087A2124126A183D48881481E69" descr="C:\Users\ADMINI~1\AppData\Local\Temp\1606191028(1).png"/>
        <xdr:cNvPicPr/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8290" y="1228725"/>
          <a:ext cx="999490" cy="87185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2" name="ID_FBF67ADAC73A4858B8CA60AE9AA563AF"/>
        <xdr:cNvPicPr/>
      </xdr:nvPicPr>
      <xdr:blipFill>
        <a:blip r:embed="rId83"/>
        <a:stretch>
          <a:fillRect/>
        </a:stretch>
      </xdr:blipFill>
      <xdr:spPr>
        <a:xfrm>
          <a:off x="5568315" y="7572375"/>
          <a:ext cx="843915" cy="723900"/>
        </a:xfrm>
        <a:prstGeom prst="rect">
          <a:avLst/>
        </a:prstGeom>
      </xdr:spPr>
    </xdr:pic>
  </etc:cellImage>
  <etc:cellImage>
    <xdr:pic>
      <xdr:nvPicPr>
        <xdr:cNvPr id="80" name="ID_51834E8D5BC24E3F8BBACBD322831E29"/>
        <xdr:cNvPicPr/>
      </xdr:nvPicPr>
      <xdr:blipFill>
        <a:blip r:embed="rId84"/>
        <a:stretch>
          <a:fillRect/>
        </a:stretch>
      </xdr:blipFill>
      <xdr:spPr>
        <a:xfrm>
          <a:off x="5492115" y="5248275"/>
          <a:ext cx="1094740" cy="1028700"/>
        </a:xfrm>
        <a:prstGeom prst="rect">
          <a:avLst/>
        </a:prstGeom>
      </xdr:spPr>
    </xdr:pic>
  </etc:cellImage>
  <etc:cellImage>
    <xdr:pic>
      <xdr:nvPicPr>
        <xdr:cNvPr id="79" name="ID_9A6ED06265374CA7B22F294DAC8EA326"/>
        <xdr:cNvPicPr/>
      </xdr:nvPicPr>
      <xdr:blipFill>
        <a:blip r:embed="rId85"/>
        <a:stretch>
          <a:fillRect/>
        </a:stretch>
      </xdr:blipFill>
      <xdr:spPr>
        <a:xfrm>
          <a:off x="5444490" y="4343400"/>
          <a:ext cx="826770" cy="742950"/>
        </a:xfrm>
        <a:prstGeom prst="rect">
          <a:avLst/>
        </a:prstGeom>
      </xdr:spPr>
    </xdr:pic>
  </etc:cellImage>
  <etc:cellImage>
    <xdr:pic>
      <xdr:nvPicPr>
        <xdr:cNvPr id="78" name="ID_482E8B680E3947DCB0C022C80ADEA1DA"/>
        <xdr:cNvPicPr/>
      </xdr:nvPicPr>
      <xdr:blipFill>
        <a:blip r:embed="rId86"/>
        <a:stretch>
          <a:fillRect/>
        </a:stretch>
      </xdr:blipFill>
      <xdr:spPr>
        <a:xfrm>
          <a:off x="5330190" y="3381375"/>
          <a:ext cx="1104900" cy="781685"/>
        </a:xfrm>
        <a:prstGeom prst="rect">
          <a:avLst/>
        </a:prstGeom>
      </xdr:spPr>
    </xdr:pic>
  </etc:cellImage>
  <etc:cellImage>
    <xdr:pic>
      <xdr:nvPicPr>
        <xdr:cNvPr id="77" name="ID_67150685CA364F149E46C992EA1BE121"/>
        <xdr:cNvPicPr/>
      </xdr:nvPicPr>
      <xdr:blipFill>
        <a:blip r:embed="rId87"/>
        <a:stretch>
          <a:fillRect/>
        </a:stretch>
      </xdr:blipFill>
      <xdr:spPr>
        <a:xfrm>
          <a:off x="5425440" y="2295525"/>
          <a:ext cx="904240" cy="939165"/>
        </a:xfrm>
        <a:prstGeom prst="rect">
          <a:avLst/>
        </a:prstGeom>
      </xdr:spPr>
    </xdr:pic>
  </etc:cellImage>
  <etc:cellImage>
    <xdr:pic>
      <xdr:nvPicPr>
        <xdr:cNvPr id="40" name="ID_B2A1FC8E8CDB4CA39FC469807F37A1CA"/>
        <xdr:cNvPicPr/>
      </xdr:nvPicPr>
      <xdr:blipFill>
        <a:blip r:embed="rId88" cstate="screen"/>
        <a:srcRect/>
        <a:stretch>
          <a:fillRect/>
        </a:stretch>
      </xdr:blipFill>
      <xdr:spPr>
        <a:xfrm>
          <a:off x="5434965" y="9591675"/>
          <a:ext cx="1268730" cy="933450"/>
        </a:xfrm>
        <a:prstGeom prst="rect">
          <a:avLst/>
        </a:prstGeom>
        <a:noFill/>
      </xdr:spPr>
    </xdr:pic>
  </etc:cellImage>
  <etc:cellImage>
    <xdr:pic>
      <xdr:nvPicPr>
        <xdr:cNvPr id="97" name="ID_F891086092E644A1AC925D4C1CFA9842"/>
        <xdr:cNvPicPr/>
      </xdr:nvPicPr>
      <xdr:blipFill>
        <a:blip r:embed="rId89" cstate="screen"/>
        <a:srcRect/>
        <a:stretch>
          <a:fillRect/>
        </a:stretch>
      </xdr:blipFill>
      <xdr:spPr>
        <a:xfrm>
          <a:off x="5187315" y="7419975"/>
          <a:ext cx="1247140" cy="558800"/>
        </a:xfrm>
        <a:prstGeom prst="rect">
          <a:avLst/>
        </a:prstGeom>
        <a:noFill/>
      </xdr:spPr>
    </xdr:pic>
  </etc:cellImage>
  <etc:cellImage>
    <xdr:pic>
      <xdr:nvPicPr>
        <xdr:cNvPr id="155" name="ID_7248781E87E24FB086C3FDC99EE553B4"/>
        <xdr:cNvPicPr/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7340" y="3990975"/>
          <a:ext cx="1294130" cy="891540"/>
        </a:xfrm>
        <a:prstGeom prst="rect">
          <a:avLst/>
        </a:prstGeom>
        <a:noFill/>
      </xdr:spPr>
    </xdr:pic>
  </etc:cellImage>
  <etc:cellImage>
    <xdr:pic>
      <xdr:nvPicPr>
        <xdr:cNvPr id="166" name="ID_97E0A6C258F64FB68E1E0D7586E89905" descr="C:\Users\RONGLI~1\AppData\Local\Temp\1606439359(1).png"/>
        <xdr:cNvPicPr/>
      </xdr:nvPicPr>
      <xdr:blipFill>
        <a:blip r:embed="rId91" cstate="print"/>
        <a:srcRect/>
        <a:stretch>
          <a:fillRect/>
        </a:stretch>
      </xdr:blipFill>
      <xdr:spPr>
        <a:xfrm>
          <a:off x="5482590" y="1323340"/>
          <a:ext cx="800100" cy="884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</etc:cellImage>
  <etc:cellImage>
    <xdr:pic>
      <xdr:nvPicPr>
        <xdr:cNvPr id="111" name="ID_AD183FBD532D40B89CED0CD4B40158BE" descr="C:\Users\lenovo\AppData\Local\Temp\WeChat Files\a356cd4cf270be524177171dfad8317.jpg"/>
        <xdr:cNvPicPr/>
      </xdr:nvPicPr>
      <xdr:blipFill>
        <a:blip r:embed="rId92" cstate="screen"/>
        <a:srcRect t="8272" b="41604"/>
        <a:stretch>
          <a:fillRect/>
        </a:stretch>
      </xdr:blipFill>
      <xdr:spPr>
        <a:xfrm rot="16200000">
          <a:off x="5434965" y="8239125"/>
          <a:ext cx="1119505" cy="9969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6" name="ID_5454B39990D340F68F3FEB1272347D51"/>
        <xdr:cNvPicPr/>
      </xdr:nvPicPr>
      <xdr:blipFill>
        <a:blip r:embed="rId93" cstate="screen"/>
        <a:srcRect l="12302" r="20238" b="36119"/>
        <a:stretch>
          <a:fillRect/>
        </a:stretch>
      </xdr:blipFill>
      <xdr:spPr>
        <a:xfrm>
          <a:off x="5082540" y="6286500"/>
          <a:ext cx="1428750" cy="95758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5" name="ID_5FC696A39FDF4816B5E30BF30A8FD697"/>
        <xdr:cNvPicPr/>
      </xdr:nvPicPr>
      <xdr:blipFill>
        <a:blip r:embed="rId94" cstate="screen"/>
        <a:srcRect/>
        <a:stretch>
          <a:fillRect/>
        </a:stretch>
      </xdr:blipFill>
      <xdr:spPr>
        <a:xfrm>
          <a:off x="5053965" y="5200650"/>
          <a:ext cx="1383665" cy="838200"/>
        </a:xfrm>
        <a:prstGeom prst="rect">
          <a:avLst/>
        </a:prstGeom>
        <a:noFill/>
      </xdr:spPr>
    </xdr:pic>
  </etc:cellImage>
  <etc:cellImage>
    <xdr:pic>
      <xdr:nvPicPr>
        <xdr:cNvPr id="176" name="ID_F9255621375D4BED99BA7AB1C231F1F5"/>
        <xdr:cNvPicPr/>
      </xdr:nvPicPr>
      <xdr:blipFill>
        <a:blip r:embed="rId95" cstate="screen"/>
        <a:srcRect/>
        <a:stretch>
          <a:fillRect/>
        </a:stretch>
      </xdr:blipFill>
      <xdr:spPr>
        <a:xfrm>
          <a:off x="5073015" y="2343150"/>
          <a:ext cx="1381760" cy="873125"/>
        </a:xfrm>
        <a:prstGeom prst="rect">
          <a:avLst/>
        </a:prstGeom>
        <a:noFill/>
      </xdr:spPr>
    </xdr:pic>
  </etc:cellImage>
  <etc:cellImage>
    <xdr:pic>
      <xdr:nvPicPr>
        <xdr:cNvPr id="94" name="ID_856D156FA8DC46B385DFCE93451077F2" descr="C:\Users\lenovo\AppData\Local\Temp\WeChat Files\3beba6fe989a5a0649ea0ae645a84ad.jpg"/>
        <xdr:cNvPicPr/>
      </xdr:nvPicPr>
      <xdr:blipFill>
        <a:blip r:embed="rId96" cstate="screen"/>
        <a:srcRect/>
        <a:stretch>
          <a:fillRect/>
        </a:stretch>
      </xdr:blipFill>
      <xdr:spPr>
        <a:xfrm>
          <a:off x="5539740" y="2562225"/>
          <a:ext cx="812165" cy="108267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1" name="ID_045F3E12D5E346F8BAD2DCBB6538DE5F" descr="C:\Users\lenovo\Desktop\QQ截图20200509160759.png"/>
        <xdr:cNvPicPr/>
      </xdr:nvPicPr>
      <xdr:blipFill>
        <a:blip r:embed="rId97" cstate="screen"/>
        <a:srcRect/>
        <a:stretch>
          <a:fillRect/>
        </a:stretch>
      </xdr:blipFill>
      <xdr:spPr>
        <a:xfrm>
          <a:off x="5415915" y="10706100"/>
          <a:ext cx="1287780" cy="9906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2" name="ID_67D06271DDCE42DD9C048DF01E978B15" descr="D:\当前工作\原创展览原始文件包\绿色黄金\借展清册\98213a35c4e5c6bf58cfeb0dff2d352.jpg"/>
        <xdr:cNvPicPr/>
      </xdr:nvPicPr>
      <xdr:blipFill>
        <a:blip r:embed="rId98" cstate="screen"/>
        <a:srcRect l="20800" t="19962" r="23200" b="17358"/>
        <a:stretch>
          <a:fillRect/>
        </a:stretch>
      </xdr:blipFill>
      <xdr:spPr>
        <a:xfrm>
          <a:off x="5090795" y="1247775"/>
          <a:ext cx="1238250" cy="92583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<sst xmlns="http://schemas.openxmlformats.org/spreadsheetml/2006/main" count="464" uniqueCount="234">
  <si>
    <t>《绿色黄金——海上丝绸之路上的茶叶贸易》（暂定名）展品清单</t>
  </si>
  <si>
    <t>序号</t>
  </si>
  <si>
    <t>藏品名称</t>
  </si>
  <si>
    <t>时代</t>
  </si>
  <si>
    <t>数量
（件/套）</t>
  </si>
  <si>
    <t>尺寸
（口径*底径*高）</t>
  </si>
  <si>
    <t>图片</t>
  </si>
  <si>
    <t>馆藏</t>
  </si>
  <si>
    <t>备注</t>
  </si>
  <si>
    <t>展品解读</t>
  </si>
  <si>
    <t>哥德堡号沉船茶样</t>
  </si>
  <si>
    <t>清乾隆</t>
  </si>
  <si>
    <t>罐直径：6.5 cm；罐高：6.0cm；连罐重：50.0g</t>
  </si>
  <si>
    <t>中国茶叶博物馆</t>
  </si>
  <si>
    <t>外销类茶叶</t>
  </si>
  <si>
    <t>当代</t>
  </si>
  <si>
    <t>（选择祁红、正山小种、珠茶、武夷岩茶4种外销茶叶进行茶样展示，展示形式需要重新设计）</t>
  </si>
  <si>
    <t>茶树品种标本</t>
  </si>
  <si>
    <t>展示方式需设计师看实物后确定</t>
  </si>
  <si>
    <t>晚清“眼生芝珠”茶叶包装纸</t>
  </si>
  <si>
    <t>晚清</t>
  </si>
  <si>
    <t>长30.5 宽21</t>
  </si>
  <si>
    <t>有框，让设计师看一下实物，确定展示方式。</t>
  </si>
  <si>
    <t>晚清茶叶包装纸，茶叶包装历来为世人所重视，特别是清中、后期，随着外国资本渗透到中国，大大促进了茶叶的内外销售，当时出现了大量的茶庄、茶号，经营各种茶类，此“眼生芝珠”系当时的外销茶类，大量外销欧美，此茶叶包装纸的中间部分写有广告，突出了茶叶商品性。</t>
  </si>
  <si>
    <t>晚清“眼生芽雨”茶叶包装纸</t>
  </si>
  <si>
    <t>晚清“眼生熙春”茶叶包装纸</t>
  </si>
  <si>
    <t>清“婺北蔴珠”包装纸</t>
  </si>
  <si>
    <t>清</t>
  </si>
  <si>
    <t>长39 宽37.5</t>
  </si>
  <si>
    <t xml:space="preserve"> 纸质，是正方形，以蓝色青花印刷，装饰性强，中有宣传广告内容，是徽商经营的茶叶品种之一，当时大量远销欧美。</t>
  </si>
  <si>
    <t>清“婺北凤眉”包装纸</t>
  </si>
  <si>
    <t>纸质，是正方形，以蓝色青花印刷，装饰性强，中有宣传广告内容，注明是詹裕生茶号经营的茶类，詹系当时著名的徽商茶号。</t>
  </si>
  <si>
    <t>清黑漆描金茶叶盒</t>
  </si>
  <si>
    <t>漆盒宽23厘米 高14.5厘米</t>
  </si>
  <si>
    <t>文物解读\清黑漆描金茶叶盒.docx</t>
  </si>
  <si>
    <t>T987-T992晚清广彩人物纹茶具一套（一壶五杯碟）</t>
  </si>
  <si>
    <t xml:space="preserve">壶：3.8*3.8*8 托：11.5*6.5*2.4 宽11 盏：5.5*4*5.6 托：14*8*2 通高6.5 </t>
  </si>
  <si>
    <t>清青花山水纹带托盏</t>
  </si>
  <si>
    <t>杯：口径7;底径3.5,高4,
托: 口径11.5;底径6.3,高2</t>
  </si>
  <si>
    <t>馆藏数量较多，可选择4-6组，设计较有特色的展示方式</t>
  </si>
  <si>
    <t>清斗彩加金缠枝牡丹纹
茶叶瓶</t>
  </si>
  <si>
    <t>口径3.1；           底径8.2；        高13.5</t>
  </si>
  <si>
    <t>直口、缺盖，后配以红木盖，直肩，直筒腹部呈花形、平 底。肩部绘青花矾红加金缠枝花。上腹部绘青花矾红加金彩如意云头，下胫部绘变形莲瓣纹，腹部主体纹缠枝莲纹。</t>
  </si>
  <si>
    <t>1007/1008
清粉彩徵章瓷盖瓶</t>
  </si>
  <si>
    <t>高17.3厘米</t>
  </si>
  <si>
    <t>直口，拱形盖，钮为端坐的小狗形象，丰肩，腹下渐收，圈足外撇。整个器身切割成六个平面，正面为徽章图样。徽章面的正后方切面开光两处，内绘花卉纹，其余切面均绘有花卉纹饰，并施以金彩。整体以白色为底，金彩、红彩以及绿彩合理搭配，颜色活泼。</t>
  </si>
  <si>
    <t>1005/1006清粉彩花卉徽章纹六方茶叶瓶</t>
  </si>
  <si>
    <t xml:space="preserve">高12.6厘米
</t>
  </si>
  <si>
    <t xml:space="preserve">直口，平肩，平盖，平底，八方体罐身。整体以粉彩金彩装饰，罐身正面绘有纹章图样，反面绘有佛手与花卉组合图样。盖面绘有松、竹、梅以及祥云的图样，肩部处绘有佛手、石榴、牡丹等纹饰。罐身两侧绘有石榴、梅花、佛手等吉祥图案。整体图案都以金彩描边。盖、罐肩部以及底部边缘也以金边红彩绘有花卉边饰。从纹饰上来看该茶叶罐应该是销往法国市场的茶具。
</t>
  </si>
  <si>
    <t>971(J171) 清铜胎画珐琅黄地开光人物纹茶盘</t>
  </si>
  <si>
    <t>长35.0 宽24.3 
高1.8</t>
  </si>
  <si>
    <t>敞口，浅腹，平底。铜胎，以珐琅彩装饰。整体以黄色为底，盘底作菱花形开光，内绘人物故事图样，周边绘各式瓜果花卉以及花鸟蝴蝶等纹样。整体装饰颜色鲜艳活泼，图案颇具生活气息。</t>
  </si>
  <si>
    <t>767 清铜胎画珐琅梅纹
小壶</t>
  </si>
  <si>
    <t>口径3.0 底径5.0 
高12.0</t>
  </si>
  <si>
    <t>693 清粉彩八宝花卉纹
带托把杯</t>
  </si>
  <si>
    <t>杯：口径:5.7厘米,底径:3.4厘米,
高: 6.3厘米
托：口径:11.2厘米,底径:6.2厘米,高:1.9厘米</t>
  </si>
  <si>
    <t xml:space="preserve">
杯直口，深腹，圈足。盘敞口，浅腹，圈足。通体施白釉，盘内粉彩装饰。盘心绘八宝纹，盘边锦地开光花卉纹，外壁光素。杯身绘八宝纹，杯口沿下绘锦地开光花卉纹，杯内光素。该套茶具的纹饰线条柔丽、设色清雅。
</t>
  </si>
  <si>
    <t>692 清雍正粉彩花篮纹
带托把杯</t>
  </si>
  <si>
    <t>杯：口径5.7厘米,
底径:3.4厘米,
高: 5.3厘米
托：口径11.5厘米,底径:6.4厘米,
高:2厘米</t>
  </si>
  <si>
    <t xml:space="preserve">
杯直口，深腹，圈足。盘敞口，浅腹，圈足。 盘心绘花篮纹样，周围以缠枝花蔓分隔，分别绘折纸牡丹、菊花、桃花等纹饰，间隔以金彩矾红锦纹，最外圈为蓝地黑彩锦纹，盘外壁玫瑰红彩。
杯身亦以缠枝花蔓分隔，分别绘折纸牡丹、菊花、桃花等纹饰，间隔以金彩矾红锦纹，杯底绘折枝花卉，口沿内绘粉色地黑彩锦纹，口沿外壁绘蓝地黑彩锦纹。杯盘纹饰互相呼应，颜色艳丽，纹饰精致。
</t>
  </si>
  <si>
    <t>清外销粉彩画</t>
  </si>
  <si>
    <t>长52 宽45</t>
  </si>
  <si>
    <t>该图11张（整套应为12张，缺第7张），分别描绘了锄地、播种、浇水、施肥、采茶、拣茶、选茶、编笼、运茶、炒茶、装茶。不仅展现了茶叶生产、加工、装运的整个流程，还描绘了茶叶生产地区的整个地貌风景，再现了19世纪广州贸易体系下茶叶外销的历程。</t>
  </si>
  <si>
    <t>SH179-SH184
清外销通草纸画</t>
  </si>
  <si>
    <t>画心长26.5，宽18.0</t>
  </si>
  <si>
    <t>ZZ21晚清“合兴祥”宝号茶叶运单</t>
  </si>
  <si>
    <t>长23 宽19</t>
  </si>
  <si>
    <t>文物解读\zz21合兴祥运单详细的文物说明.docx</t>
  </si>
  <si>
    <t>ZZ16 清同治厘照</t>
  </si>
  <si>
    <t>长26 宽17</t>
  </si>
  <si>
    <t>文物解读\ZZ16 清同治厘照详细文物说明.docx</t>
  </si>
  <si>
    <t>685 清康熙青花矾红加金茶壶</t>
  </si>
  <si>
    <t>清康熙</t>
  </si>
  <si>
    <t>高:11厘米        口径：6.2厘米    底径:5.4厘米</t>
  </si>
  <si>
    <t>文物解读\685 清康熙青花矾红加金茶壶.docx</t>
  </si>
  <si>
    <t>694清康熙五彩描金花鸟纹茶壶</t>
  </si>
  <si>
    <t>高：11.0厘米  口径：7.6厘米  底径：7.6厘米</t>
  </si>
  <si>
    <t xml:space="preserve">
壶呈鼓状，肩和近足部一周鼓钉装饰。弯流，环形把，狮钮，嵌盖，壶口饰有一圈回纹。壶身、把、盖、流均绘制花鸟纹饰，色彩丰富，花鸟形象生动多姿。
这件壶的器形比较独特，荷兰国立博物馆藏有一件同器形的壶，装饰上采用了酱釉和青花（《明清贸易瓷》第36页）
</t>
  </si>
  <si>
    <t>799 清康熙外紫金内青花盏托</t>
  </si>
  <si>
    <t>盏：口径8.4厘米 
底径4.0厘米 
高5.5厘米
托：口径12.5厘米 底径7.8厘米 
高2.4厘米</t>
  </si>
  <si>
    <t xml:space="preserve">  
由杯及托两部分组成。杯，尖唇，敞口外撇，斜直腹，圈足。托敞口，浅斜腹，圈足。杯及托均起棱为装饰。杯和托装饰一致，外壁为酱釉，内部外圈以青花开光四块，分别绘有山水图和瓶花。底部以青花双圈内有康熙年制四字。青花色泽浓艳明亮又不失浓淡变化。
这类外酱釉内青花的外销瓷，又被称为“巴达维亚瓷”，这种瓷器最早是由荷兰人从南洋巴达维亚港运往欧洲销售的，因不知产地便以港口命名为“巴达维亚瓷”， 17 世纪末至18 世纪中叶流行。 
</t>
  </si>
  <si>
    <t>798 清康熙紫金釉开光
人物纹茶壶</t>
  </si>
  <si>
    <t>口径5.9  底径6.3  高12.3</t>
  </si>
  <si>
    <t>壶圆腹，圆盖，宝珠钮，一侧为直流，一侧为弧形柄。器身施酱釉，底部白柚。其腹部扇形开光白釉内绘青花红彩的仕女图，以青花描绘的仕女立于庭院一角，中间以矾红绘有花卉。器身酱釉之上依稀可见以金彩描绘出折枝花卉纹饰。盖面围绕宝珠钮形成四个开光，开光内亦用青花、金彩和矾红绘花卉纹饰。此类茶壶多为外销产品。</t>
  </si>
  <si>
    <t>802/803 清康熙矾红地描金冰梅纹开光盏托</t>
  </si>
  <si>
    <t>盏 口径6.0  
底径2.3  高3.8
托 口径10.0 
底径5.6  高1.8</t>
  </si>
  <si>
    <t xml:space="preserve">    由托及杯两部分组成。杯，圆唇，敞口微外撇，弧腹，圈足。托，敞口，浅弧腹，圈足。杯内口沿下一圈青花装饰，杯内底以青花矾红金彩绘仕女倚栏，杯外壁以矾红彩为底，以金彩描绘冰裂状，以红彩绘梅花纹，再以金彩菱形开光内绘山水纹。托内壁纹饰与杯相似，外壁白釉无纹饰。</t>
  </si>
  <si>
    <r>
      <rPr>
        <sz val="10.5"/>
        <rFont val="宋体"/>
        <charset val="134"/>
      </rPr>
      <t xml:space="preserve">T1394 </t>
    </r>
    <r>
      <rPr>
        <sz val="10.5"/>
        <rFont val="宋体"/>
        <charset val="134"/>
      </rPr>
      <t>十八世纪景德镇窑伊万里风格带托盏</t>
    </r>
  </si>
  <si>
    <t>十八世纪</t>
  </si>
  <si>
    <t>盏：口径6.1，底径2.7，高3.2；托：口径10.8，底径5.3，高1.2；通高4.4</t>
  </si>
  <si>
    <t>盏侈口，深腹、圈足。托敞口，坦腹，圈足。盏外壁开光内以青花、矾红绘山水纹，杯底绘折纸花卉。托内中心为花篮纹，沿花篮一周开光三处，开光内绘莲花纹，开光外间以折枝花卉装饰，托外壁素面无装饰。十七世纪中期，由于明末清初的战争动乱，中国瓷器外销一度受到影响，这时的日本有田开始大量仿烧景德镇瓷器，其外销产品多从伊万里港出口，欧洲人称之为“伊万里瓷”。日本伊万里瓷器喜用大量的红彩和金彩，其视觉效果非常华丽绚烂，这里装饰风格符合当时欧洲贵族的审美，一时间风靡欧洲和日本国内市场。清康熙二十二年开放海禁，景德镇恢复瓷器出口，应欧洲市场的需求，以伊万里风格为模仿对象，运用釉下青花、釉上矾红、描金勾勒，以中国传统纹饰为主的瓷器重返欧洲市场。这套太托盏就是景德镇仿日本伊万里瓷的典型器物，是中西文化交融的见证。</t>
  </si>
  <si>
    <t>清青花加金彩山水人物纹茶具组</t>
  </si>
  <si>
    <t xml:space="preserve">茶壶：高10.1厘米   口径 9.0 厘米   
底径 10.7厘米
茶叶罐：高11.5厘米   口径 2.6 厘米   
底长 7.6厘米
花口杯：高4.7厘米   口径 8.0 厘米  
 底径 4.0厘米
茶托：高3.4厘米   口径 13.2 厘米   底径 7.3厘米
</t>
  </si>
  <si>
    <t>（图中缺把杯）</t>
  </si>
  <si>
    <t>文物解读\清乾隆青花加金彩茶具组.docx</t>
  </si>
  <si>
    <t>j136晚清花卉纹银糖缸</t>
  </si>
  <si>
    <t>口径8.0 底径9.5 
高12.5</t>
  </si>
  <si>
    <t>清青花山水人物纹
瓷茶具组</t>
  </si>
  <si>
    <t xml:space="preserve">壶：口径：7.7厘米，底径：7厘米，高：16厘米，
通高：22.5厘米
奶杯：口径：4.9厘米，底径：4.1厘米，高：11.5厘米
茶叶罐：口径：3.4厘米，底径：4.1厘米，高：13 厘米
茶碗：口径：10.8厘米，底径：5厘米，高：5.5厘米
茶杯：口径：7.8厘米，底径：3.7厘米，高：4.9厘米
</t>
  </si>
  <si>
    <t>文物解读\清青花山水人物纹瓷茶具组.docx</t>
  </si>
  <si>
    <t>525清粉彩花卉纹桃形盖钮瓷茶壶</t>
  </si>
  <si>
    <t>高 16 厘米，口径 7. 5 厘米，底径 7. 3 厘米</t>
  </si>
  <si>
    <t>内敛口，短颈，圆球形腹，矮圈足 。 盔帽式盖，以两枚桃实为钮，带装饰的 三弯流及圆环形把，盖面以红、绿粉彩绘两朵花卉，盖沿以连珠纹及连续回纹为装饰，壶肩以竹枝与花卉纹主纹饰，壶体中心部位绘折枝花卉纹，壶底足无袖，圈足内旋纹明显。这把壶的花卉纹饰采用了西画技法，强调了阴暗变化，颇具立体感。在画面布局上，有大片留白，主题花卉占位较小，形成素雅、简洁的格调，与中国传统花卉纹饰的繁复饱满的风格形成较为鲜明的对比。</t>
  </si>
  <si>
    <t>清紫金釉地开光粉彩
花卉纹茶壶</t>
  </si>
  <si>
    <t>高12.5厘米，
口径6.5厘米，
底径5.6厘米</t>
  </si>
  <si>
    <t>直口，短颈，球形鼓腹，矮圈足。管状直流，圆环形把。盖面微隆，中有宝珠顶钮。盖面开光呈三叶形，内以矾红、绿、蓝彩、褐彩绘花卉纹，开光以外部分满饰紫金釉，壶底施白釉。</t>
  </si>
  <si>
    <t>清粉彩描金西洋人物纹
茶壶</t>
  </si>
  <si>
    <t>口径5.5；底径5.4；高10.8</t>
  </si>
  <si>
    <t>直口，短颈，球形鼓腹，矮圈足。管状直流，圆环形把。盖面微隆，中有宝珠顶钮。盖口沿及肩部绘矾红加金彩锦地纹，盖面绘矾红加金牡丹纹。壶体主要纹饰以矾红、浅绿、淡墨、金彩绘西洋装束的男女人物，边有一犬回首望男女人物。</t>
  </si>
  <si>
    <t>J195 1898年英国银质奶杯</t>
  </si>
  <si>
    <t>1898年</t>
  </si>
  <si>
    <t>通宽11 通高 6.2</t>
  </si>
  <si>
    <t>794 晚清竹节纹双耳
银糖缸</t>
  </si>
  <si>
    <t>口径9.0 底径6.0 
高18.0</t>
  </si>
  <si>
    <t>T856 清康熙贴花镂空万字梅竹双清椭圆紫砂壶</t>
  </si>
  <si>
    <t>高10.5厘米，口径9厘米，底径9厘米，
通宽19厘米。</t>
  </si>
  <si>
    <t>椭圆壶身，以竹节作流及把，通身贴饰四片海棠形开光，每片开光镂空雕刻梅花纹，寓意“梅竹双清”，并于交接处点缀万字纹。椭圆壶盖亦镂雕梅花纹，居中托起一朵梅花作壶钮。此壶做工繁复，也是清初外销欧洲的紫砂茶具。</t>
  </si>
  <si>
    <t>T857清印花锦地龙纹紫砂茶叶罐</t>
  </si>
  <si>
    <t>3.5*9.5*13.8</t>
  </si>
  <si>
    <t>T858清康熙太师少师钮贴花夔龙纹紫砂大壶</t>
  </si>
  <si>
    <t>口径9.0厘米，底径8.0厘米，高14.8厘米，通宽20.0厘米</t>
  </si>
  <si>
    <t xml:space="preserve">
壶身圆鼓呈椭圆形，微折肩，壶流微弯，耳形把，壶身模印贴饰折枝牡丹与夔龙纹，平盖微凸上置大小二狮戏球，以大狮昂首，左爪下一绣球，幼狮匍匐其侧，生动可爱。
</t>
  </si>
  <si>
    <t>T859 清贴花狮钮六方紫砂壶</t>
  </si>
  <si>
    <t>高12厘米，口径8.5厘米，底径8.5厘米，通宽19厘米</t>
  </si>
  <si>
    <t xml:space="preserve">
壶身为六方形，壶身贴杂宝纹子，平盖上塑一卧狮，狮子前方有架子滚球，球架两侧饰以彩带，延伸贴于盖面。一弯壶流及弧圆壶把皆呈方形，下承圈足。清初紫砂壶中，以狮戏球为壶钮者多见，一般狮子以木模压出，再加以细部修饰，加上狮子前方捏塑的玲珑绣球，颇有趣味。清乾隆十七年（1752年）沉没的捷达麦森号（Geldermalson）海捞物品中，便有发现此类卧狮滚球壶。
</t>
  </si>
  <si>
    <t>T860 清贴花喜上眉梢
紫砂盖碗</t>
  </si>
  <si>
    <t>12*3.5*9.6</t>
  </si>
  <si>
    <t>T861清康熙 青花仕女纹
梨式壶</t>
  </si>
  <si>
    <t>4.5*3.5*7.通宽10.5</t>
  </si>
  <si>
    <t>壶直口，溜肩，圆腹，弯流，曲柄，附宝珠钮盖，矮圈足。通体以青花装饰，盖面绘组折枝花卉纹，壶身绘仕女图，一人执扇，一人执旗，，壶柄及流均以花卉装饰。壶底“玉”字款，</t>
  </si>
  <si>
    <t>T903清康熙青花花鸟纹
梨式壶</t>
  </si>
  <si>
    <t>高9.8，口径6.5，底径6.5，通宽12.5</t>
  </si>
  <si>
    <t>壶直口，溜肩，圆腹，直流，曲柄，附宝珠钮盖，矮圈足。通体以青花装饰，盖面四个开光内绘折枝花卉纹，壶身共饰八个桃形开光，开光内均绘花鸟纹，底部</t>
  </si>
  <si>
    <t>T865清 乾隆 酱釉杯连托</t>
  </si>
  <si>
    <t>杯6.2*2.8*3.2，托9.8*5.2*2.0</t>
  </si>
  <si>
    <t>杯撇口，斜腹，圈足。盘敞口，圈足。杯盘均施满酱釉。</t>
  </si>
  <si>
    <t>T863 清乾隆 粉彩描金花蝶牡丹图八角杯连托</t>
  </si>
  <si>
    <t>杯6.8*3*3.8，托11*5.8*1.8</t>
  </si>
  <si>
    <t>杯及托均为八边形，杯斜直腹，圈足。托浅腹圈足。整体以粉彩装饰，托盘心绘牡丹蝴蝶图，盘沿一周分割成八个开光，开光绘有不同花卉纹饰，一组以白底绘折枝牡丹；一组以墨色卷纹为底，绘黄色莲花纹；一组以白色为底绘石竹花；一组以以墨色卷纹为底，绘蓝色莲花纹。托外壁无纹饰。杯外壁纹饰与托盘开光纹饰相同，杯心为一折枝牡丹与盘心纹饰呼应，杯口沿下绘有一圈变形云纹。整体颜色搭配精巧，纹饰繁复却不杂乱，是一件赏心悦目的精品茶具。</t>
  </si>
  <si>
    <t>T846-T855 晚清广彩人物纹茶具一套</t>
  </si>
  <si>
    <t>壶3.5*9.0*10.5；
茶盘：宽29，高3.0</t>
  </si>
  <si>
    <t>T862 清乾隆粉彩松鹿延年八角杯连托</t>
  </si>
  <si>
    <t>杯6.5*3.5*4.2，
托11*7*1.8</t>
  </si>
  <si>
    <t>杯及托为八角花口，杯斜直腹，圈足，盘浅腹圈足。整体以粉彩装饰，盘心白釉为底绘松鹿图，口沿下一周边饰。杯口沿内侧一圈边饰，外壁绘同样的松鹿图，杯与托纹饰相同。</t>
  </si>
  <si>
    <t>T864 清乾隆粉彩梅竹喜鹊图杯连托</t>
  </si>
  <si>
    <t>杯7.5*3.8*3.7，
托11.4*7*1.8</t>
  </si>
  <si>
    <t>杯微撇口，弧腹，圈足。盘敞口，弧腹圈足。杯盘均以粉彩装饰，盘心用红彩绘竹，蓝彩绘湖石，以红彩墨彩绘梅花，并绘有四只喜鹊，形态各异，或停于竹竿之上，或歇在湖石之间，或飞于梅枝之上，构成一幅梅竹喜鹊图。托盘口沿下绘边饰一周，边饰以花朵、叶瓣以及卷草三种图样组合。杯外壁绘同样梅竹喜鹊图，杯内口沿下绘边饰一周，杯心无纹饰。</t>
  </si>
  <si>
    <t>T970清青花矾红加金彩
茶壶1</t>
  </si>
  <si>
    <t>口径7，底径8，
高16.5，宽21</t>
  </si>
  <si>
    <t>T1419清乾隆青花人物纹壶</t>
  </si>
  <si>
    <t>口径11.0，底径10.5，高20.0，
通宽26.0</t>
  </si>
  <si>
    <t>球形壶，枝状流，弧形盖，平顶钮，曲柄。通体以青花装饰，盖面以卷草纹为底开光四处，开光内绘山水图及梅雀图。器身绘人物纹，柄连接处开光，开关内绘双鸭及山水纹。</t>
  </si>
  <si>
    <t>清嘉庆松石地粉彩勾莲纹海棠式茶盘</t>
  </si>
  <si>
    <t>口径28.0；底径16.5；高2.5</t>
  </si>
  <si>
    <t>茶盘口部呈海棠式，弧腹、矮圈足。器内主体纹饰为一圆形开光，开光内以墨彩绘山水屋宇图，偶以粉红彩装饰树叶。外壁辅助纹饰以松石绿为地，饰以粉彩勾莲纹。</t>
  </si>
  <si>
    <t>清康熙青花山水人物纹
带托盏</t>
  </si>
  <si>
    <t>托: 口径13.2厘米；底径7.5厘米；
高2.3厘米,
盏: 口径8.5厘米；底径3.6厘米；
高5.1厘米</t>
  </si>
  <si>
    <t xml:space="preserve">
由盏、托两部分组成。盏菱花式口，微撇，圈足。盏外壁以青花绘山水人物纹，间以条形花卉纹为间隔。盏心青花双圈内绘一折枝花卉，盏口沿内绘一圈花卉边饰，盏身剔刻装饰，形成了曲凹筋纹，而青花的纹饰和筋纹呼应，使得整个杯体有向上的动感的视觉效果。盏托敞口，浅腹，圈足，盘心装饰和盏相同，盘外壁等间绘三折枝花卉，盘底青花双圈花押款。
这类器物是中国传统茶具，无论是器形还是纹饰都是比较常见，但是胎体筋纹的运用较为独特。
</t>
  </si>
  <si>
    <t>清道光粉彩人物纹带托盏</t>
  </si>
  <si>
    <t>托:口径13.5；底径7.8；高2.5,盏: 口径10.8；底径4.0；高6.0</t>
  </si>
  <si>
    <t>由碗和托两部分组成，碗敝口、折腹、矮圈足。托敝口、弧腹、矮圈足。碗外壁及托内壁以粉彩描绘刀马人物，取材于中国的戏曲故事。</t>
  </si>
  <si>
    <t>清康熙青花如意云头纹
茶叶瓶</t>
  </si>
  <si>
    <t>高19.2厘米　
口径3.5厘米　
底径5.6厘米</t>
  </si>
  <si>
    <t xml:space="preserve">
方唇，直口，短颈，丰肩，弧腹，近底内收，圈足。器盖为后配金属盖。修足规整，足端无釉。口沿刮釉一周，外壁以青花装饰，肩部绘四朵如意云纹，云纹内已青花为地并勾勒花朵纹，花朵内留白，胫部同样铺以四朵如意云纹，器腹部间绘四朵折枝花纹。这类如意花卉纹系康熙时期比较流行的式样，多见于外销器。
</t>
  </si>
  <si>
    <t>清康熙米黄地五彩花鸟纹带托盏</t>
  </si>
  <si>
    <t>盏：高4.6cm  口径8.0cm  底径3.8cm 托：高1.8cm  口径13.0cm  底径6.9cm</t>
  </si>
  <si>
    <t>由盏、托两部分组成，盏菱口，深腹，矮圈足，托敝口，呈菱形，矮弧腹、矮圈足，盏托内口沿以青花描绘锦地纹，盏及托外壁先以米黄釉为地，其上再以五彩绘花卉纹。盏、托内壁均以五彩纹花卉纹，底有青花花押款。</t>
  </si>
  <si>
    <t>清“颜吉兴”款锡茶具组</t>
  </si>
  <si>
    <t>茶盘：直径31.5 高3，壶：高12.5 底径7.8 通宽23；奶杯：高12 底径6 通宽14.8；糖缸：高12.3 底径6.5 通宽17.5</t>
  </si>
  <si>
    <t>640清银点蓝喜上眉梢纹
盖罐</t>
  </si>
  <si>
    <t>口径6.0 底径8.2 
高18.0</t>
  </si>
  <si>
    <t>清铜胎画珐琅缠枝花果开光人物椭圆形茶盘及盖碗</t>
  </si>
  <si>
    <t>盘：口径26.2 底径23.5 高1.6；
盖碗：口径3.2 底径4.2 高8.0</t>
  </si>
  <si>
    <t>清铜胎画珐琅冰梅纹带
托盏</t>
  </si>
  <si>
    <t>盏：口径8.6 底径3.7 高5.0；
托：口径14.7 底径4.7 高2.5</t>
  </si>
  <si>
    <t>敞口，弧腹，</t>
  </si>
  <si>
    <t>J130-J132晚清雀竹纹银
茶具</t>
  </si>
  <si>
    <t>壶：口径7.5厘米，底径9.0厘米，高14.5厘米；糖缸：口径5.6厘米，底径7.0厘米，高8.2厘米；奶杯：口径9.0厘米，底径7.0厘米，高8.2厘米。</t>
  </si>
  <si>
    <t xml:space="preserve">
</t>
  </si>
  <si>
    <t xml:space="preserve">
该套茶具由壶、奶杯以及糖缸构成。壶钮、把手及流均制成竹节状，壶身锤蹀錾刻竹枝叶和雀鸟，居中为一盾形徽章，壶身承覆扣喇叭形三层高足。壶把手上下端均嵌有象牙，可以起到隔热的作用，壶盖与壶身以合页连接为一体。
糖缸盖失，两耳为竹节状，口沿亦做成竹节状，器身蹀錾刻竹枝叶和雀鸟，居中为同样盾形徽章，承覆扣喇叭形三层高足。
奶杯把手及口沿为竹节状，器身纹饰与壶等相同。
这套银茶具底部有“LUEN-WO”“Shanghai”“大吉”戳印。LUEN-WO即联和银楼，是上海地区较为有名的粤人银楼，活跃于19世纪70年代至20世纪20年代。该套茶具形制为典型的西方茶具，但纹饰采用了中国传统的竹和雀鸟，反映了当时外销银器中西交融的独特风貌。</t>
  </si>
  <si>
    <t>J194 1898年英国银质茶壶</t>
  </si>
  <si>
    <t>19世纪</t>
  </si>
  <si>
    <t>通宽23 通高13.5</t>
  </si>
  <si>
    <t>J230 19—20世纪欧洲卡斯家族族徽银合金爬山虎
夜莺南瓜壶</t>
  </si>
  <si>
    <t>口径7.5，高27，通宽32，重1782克</t>
  </si>
  <si>
    <t>792/J138 晚清竹节纹银
横把壶</t>
  </si>
  <si>
    <t>口径6.5 底径4.0 高24.5</t>
  </si>
  <si>
    <t>793/J139 晚清竹节纹银横把壶</t>
  </si>
  <si>
    <t>口径8.9 底径7.0 高21.0</t>
  </si>
  <si>
    <t>795/J141 晚清竹节纹银奶杯</t>
  </si>
  <si>
    <t>口径6.4 底径3.0 高11.6</t>
  </si>
  <si>
    <t>清同文行茶叶箱</t>
  </si>
  <si>
    <t>高74厘米 
长90厘米 
宽59厘米</t>
  </si>
  <si>
    <t>广州十三行博物馆</t>
  </si>
  <si>
    <t>清杉木“雨前”茶叶箱</t>
  </si>
  <si>
    <t>长、高、宽
32.5厘米</t>
  </si>
  <si>
    <t>通草水彩茶叶贸易画</t>
  </si>
  <si>
    <t>画框纵33厘米横49厘米；画心20*34</t>
  </si>
  <si>
    <t>铜胎画珐琅花卉纹提梁壶及温炉</t>
  </si>
  <si>
    <t>19世纪中期</t>
  </si>
  <si>
    <r>
      <rPr>
        <sz val="11"/>
        <color theme="1"/>
        <rFont val="宋体"/>
        <charset val="134"/>
        <scheme val="minor"/>
      </rPr>
      <t>通高30厘米，底径</t>
    </r>
    <r>
      <rPr>
        <sz val="11"/>
        <color theme="1"/>
        <rFont val="宋体"/>
        <charset val="134"/>
        <scheme val="minor"/>
      </rPr>
      <t>15厘米</t>
    </r>
  </si>
  <si>
    <t>铜胎画珐琅庭院人物采莲抓蟹鱼游乐图大茶盘</t>
  </si>
  <si>
    <t>清代</t>
  </si>
  <si>
    <t>高5.5cm
口径55.5*81.5cm
底径40*67cm</t>
  </si>
  <si>
    <t>英国维奇伍德蓝白
带托茶杯</t>
  </si>
  <si>
    <t>上海市历史博物馆</t>
  </si>
  <si>
    <t>第三单元 第三节</t>
  </si>
  <si>
    <t>19世纪描金彩绘茶杯及托</t>
  </si>
  <si>
    <t>19世纪英国虹彩茶壶</t>
  </si>
  <si>
    <t>19世纪英国青花柳纹
纹样壶</t>
  </si>
  <si>
    <t>哥德堡号复制模型</t>
  </si>
  <si>
    <t xml:space="preserve">长:96cm  
宽:37cm  
高:85cm   </t>
  </si>
  <si>
    <t>中国航海博物馆</t>
  </si>
  <si>
    <t>十九世纪五十年代外滩油画</t>
  </si>
  <si>
    <t xml:space="preserve">长:89cm  
宽:57cm  
高:4cm    </t>
  </si>
  <si>
    <r>
      <rPr>
        <sz val="10.5"/>
        <color rgb="FF000000"/>
        <rFont val="Calibri"/>
        <charset val="134"/>
      </rPr>
      <t>1798</t>
    </r>
    <r>
      <rPr>
        <sz val="10.5"/>
        <color rgb="FF000000"/>
        <rFont val="宋体"/>
        <charset val="134"/>
      </rPr>
      <t>年《英使谒见乾隆纪实》</t>
    </r>
  </si>
  <si>
    <t>1798年</t>
  </si>
  <si>
    <t>书籍：20.2×13.2cm、
图册：28.8×21.6cm</t>
  </si>
  <si>
    <r>
      <rPr>
        <sz val="10.5"/>
        <color rgb="FF000000"/>
        <rFont val="Calibri"/>
        <charset val="134"/>
      </rPr>
      <t>1665</t>
    </r>
    <r>
      <rPr>
        <sz val="10.5"/>
        <color rgb="FF000000"/>
        <rFont val="宋体"/>
        <charset val="134"/>
      </rPr>
      <t>年尼霍夫广州图景</t>
    </r>
  </si>
  <si>
    <t>1655年</t>
  </si>
  <si>
    <t>长:38.5cm  宽:25.5cm</t>
  </si>
  <si>
    <t>清沉船出水紫砂壶</t>
  </si>
  <si>
    <r>
      <rPr>
        <sz val="11"/>
        <color theme="1"/>
        <rFont val="宋体"/>
        <charset val="134"/>
      </rPr>
      <t xml:space="preserve">长:22cm  
宽:13cm  
高:15.5cm </t>
    </r>
    <r>
      <rPr>
        <sz val="11"/>
        <color theme="1"/>
        <rFont val="Times New Roman"/>
        <charset val="134"/>
      </rPr>
      <t> </t>
    </r>
  </si>
  <si>
    <t>长:22cm 
宽:13cm 
   高:14cm  </t>
  </si>
  <si>
    <t>长:15cm 
宽:10cm 
    高:8.5cm  </t>
  </si>
  <si>
    <t>清乾隆托马斯桑德徽章斯瓷盘</t>
  </si>
  <si>
    <t>长:23cm  
宽:23cm
高:2cm</t>
  </si>
  <si>
    <t>1857年“江海关”五十两银锭</t>
  </si>
  <si>
    <t xml:space="preserve">   长:11.5cm 宽:7cm 
  高:8.5cm</t>
  </si>
  <si>
    <t>19世纪广州十三行商馆玻璃画</t>
  </si>
  <si>
    <t>长:56.5cm 宽:42cm  高:3.5cm  </t>
  </si>
  <si>
    <t>西班牙卡洛斯王三世银币</t>
  </si>
  <si>
    <t>直径3.8厘米 27克</t>
  </si>
  <si>
    <t>舟山博物馆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</si>
</sst>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</font>
    <font>
      <sz val="12"/>
      <name val="Calibri"/>
      <charset val="134"/>
    </font>
    <font>
      <sz val="10.5"/>
      <name val="宋体"/>
      <charset val="134"/>
    </font>
    <font>
      <u/>
      <sz val="11"/>
      <name val="宋体"/>
      <charset val="134"/>
      <scheme val="minor"/>
    </font>
    <font>
      <sz val="10.5"/>
      <color theme="1"/>
      <name val="宋体"/>
      <charset val="134"/>
    </font>
    <font>
      <sz val="12"/>
      <name val="宋体"/>
      <charset val="134"/>
      <scheme val="minor"/>
    </font>
    <font>
      <sz val="10.5"/>
      <color rgb="FF000000"/>
      <name val="Calibri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.5"/>
      <color rgb="FF000000"/>
      <name val="宋体"/>
      <charset val="134"/>
    </font>
    <font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27" fillId="2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14" borderId="12" applyNumberFormat="0" applyFont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13" borderId="11" applyNumberFormat="0" applyAlignment="0" applyProtection="0">
      <alignment vertical="center"/>
    </xf>
    <xf numFmtId="0" fontId="28" fillId="13" borderId="15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1" xfId="0" applyFont="1" applyFill="1" applyBorder="1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1" fillId="0" borderId="5" xfId="0" applyFont="1" applyFill="1" applyBorder="1" applyAlignment="1">
      <alignment vertical="center" wrapText="1"/>
    </xf>
    <xf numFmtId="0" fontId="7" fillId="0" borderId="1" xfId="10" applyFont="1" applyBorder="1" applyAlignment="1">
      <alignment vertical="center" wrapText="1"/>
    </xf>
    <xf numFmtId="0" fontId="7" fillId="0" borderId="4" xfId="10" applyFont="1" applyBorder="1" applyAlignment="1">
      <alignment vertical="center" wrapText="1"/>
    </xf>
    <xf numFmtId="0" fontId="1" fillId="0" borderId="6" xfId="0" applyFont="1" applyFill="1" applyBorder="1" applyAlignment="1"/>
    <xf numFmtId="0" fontId="1" fillId="0" borderId="4" xfId="0" applyFont="1" applyFill="1" applyBorder="1" applyAlignment="1">
      <alignment vertical="center" wrapText="1"/>
    </xf>
    <xf numFmtId="0" fontId="1" fillId="0" borderId="7" xfId="0" applyFont="1" applyFill="1" applyBorder="1" applyAlignment="1"/>
    <xf numFmtId="0" fontId="1" fillId="0" borderId="3" xfId="0" applyFont="1" applyFill="1" applyBorder="1" applyAlignment="1"/>
    <xf numFmtId="0" fontId="1" fillId="0" borderId="8" xfId="0" applyFont="1" applyFill="1" applyBorder="1" applyAlignment="1"/>
    <xf numFmtId="0" fontId="1" fillId="0" borderId="5" xfId="0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/>
    <xf numFmtId="0" fontId="9" fillId="0" borderId="1" xfId="13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/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8" Type="http://schemas.openxmlformats.org/officeDocument/2006/relationships/image" Target="media/image98.jpeg"/><Relationship Id="rId97" Type="http://schemas.openxmlformats.org/officeDocument/2006/relationships/image" Target="media/image97.png"/><Relationship Id="rId96" Type="http://schemas.openxmlformats.org/officeDocument/2006/relationships/image" Target="media/image96.jpeg"/><Relationship Id="rId95" Type="http://schemas.openxmlformats.org/officeDocument/2006/relationships/image" Target="media/image95.png"/><Relationship Id="rId94" Type="http://schemas.openxmlformats.org/officeDocument/2006/relationships/image" Target="media/image94.png"/><Relationship Id="rId93" Type="http://schemas.openxmlformats.org/officeDocument/2006/relationships/image" Target="media/image93.png"/><Relationship Id="rId92" Type="http://schemas.openxmlformats.org/officeDocument/2006/relationships/image" Target="media/image92.jpeg"/><Relationship Id="rId91" Type="http://schemas.openxmlformats.org/officeDocument/2006/relationships/image" Target="media/image91.png"/><Relationship Id="rId90" Type="http://schemas.openxmlformats.org/officeDocument/2006/relationships/image" Target="media/image90.png"/><Relationship Id="rId9" Type="http://schemas.openxmlformats.org/officeDocument/2006/relationships/image" Target="media/image9.png"/><Relationship Id="rId89" Type="http://schemas.openxmlformats.org/officeDocument/2006/relationships/image" Target="media/image89.png"/><Relationship Id="rId88" Type="http://schemas.openxmlformats.org/officeDocument/2006/relationships/image" Target="media/image88.png"/><Relationship Id="rId87" Type="http://schemas.openxmlformats.org/officeDocument/2006/relationships/image" Target="media/image87.png"/><Relationship Id="rId86" Type="http://schemas.openxmlformats.org/officeDocument/2006/relationships/image" Target="media/image86.png"/><Relationship Id="rId85" Type="http://schemas.openxmlformats.org/officeDocument/2006/relationships/image" Target="media/image85.png"/><Relationship Id="rId84" Type="http://schemas.openxmlformats.org/officeDocument/2006/relationships/image" Target="media/image84.png"/><Relationship Id="rId83" Type="http://schemas.openxmlformats.org/officeDocument/2006/relationships/image" Target="media/image83.png"/><Relationship Id="rId82" Type="http://schemas.openxmlformats.org/officeDocument/2006/relationships/image" Target="media/image82.png"/><Relationship Id="rId81" Type="http://schemas.openxmlformats.org/officeDocument/2006/relationships/image" Target="media/image81.png"/><Relationship Id="rId80" Type="http://schemas.openxmlformats.org/officeDocument/2006/relationships/image" Target="media/image80.jpeg"/><Relationship Id="rId8" Type="http://schemas.openxmlformats.org/officeDocument/2006/relationships/image" Target="media/image8.jpeg"/><Relationship Id="rId79" Type="http://schemas.openxmlformats.org/officeDocument/2006/relationships/image" Target="media/image79.jpeg"/><Relationship Id="rId78" Type="http://schemas.openxmlformats.org/officeDocument/2006/relationships/image" Target="media/image78.jpeg"/><Relationship Id="rId77" Type="http://schemas.openxmlformats.org/officeDocument/2006/relationships/image" Target="media/image77.jpeg"/><Relationship Id="rId76" Type="http://schemas.openxmlformats.org/officeDocument/2006/relationships/image" Target="media/image76.jpeg"/><Relationship Id="rId75" Type="http://schemas.openxmlformats.org/officeDocument/2006/relationships/image" Target="media/image75.jpeg"/><Relationship Id="rId74" Type="http://schemas.openxmlformats.org/officeDocument/2006/relationships/image" Target="media/image74.jpeg"/><Relationship Id="rId73" Type="http://schemas.openxmlformats.org/officeDocument/2006/relationships/image" Target="media/image73.jpeg"/><Relationship Id="rId72" Type="http://schemas.openxmlformats.org/officeDocument/2006/relationships/image" Target="media/image72.jpeg"/><Relationship Id="rId71" Type="http://schemas.openxmlformats.org/officeDocument/2006/relationships/image" Target="media/image71.jpeg"/><Relationship Id="rId70" Type="http://schemas.openxmlformats.org/officeDocument/2006/relationships/image" Target="media/image70.jpeg"/><Relationship Id="rId7" Type="http://schemas.openxmlformats.org/officeDocument/2006/relationships/image" Target="media/image7.jpeg"/><Relationship Id="rId69" Type="http://schemas.openxmlformats.org/officeDocument/2006/relationships/image" Target="media/image69.jpeg"/><Relationship Id="rId68" Type="http://schemas.openxmlformats.org/officeDocument/2006/relationships/image" Target="media/image68.jpeg"/><Relationship Id="rId67" Type="http://schemas.openxmlformats.org/officeDocument/2006/relationships/image" Target="media/image67.jpeg"/><Relationship Id="rId66" Type="http://schemas.openxmlformats.org/officeDocument/2006/relationships/image" Target="media/image66.jpeg"/><Relationship Id="rId65" Type="http://schemas.openxmlformats.org/officeDocument/2006/relationships/image" Target="media/image65.jpeg"/><Relationship Id="rId64" Type="http://schemas.openxmlformats.org/officeDocument/2006/relationships/image" Target="media/image64.jpeg"/><Relationship Id="rId63" Type="http://schemas.openxmlformats.org/officeDocument/2006/relationships/image" Target="media/image63.jpeg"/><Relationship Id="rId62" Type="http://schemas.openxmlformats.org/officeDocument/2006/relationships/image" Target="media/image62.jpe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jpeg"/><Relationship Id="rId59" Type="http://schemas.openxmlformats.org/officeDocument/2006/relationships/image" Target="media/image59.jpeg"/><Relationship Id="rId58" Type="http://schemas.openxmlformats.org/officeDocument/2006/relationships/image" Target="media/image58.jpeg"/><Relationship Id="rId57" Type="http://schemas.openxmlformats.org/officeDocument/2006/relationships/image" Target="media/image57.jpeg"/><Relationship Id="rId56" Type="http://schemas.openxmlformats.org/officeDocument/2006/relationships/image" Target="media/image56.png"/><Relationship Id="rId55" Type="http://schemas.openxmlformats.org/officeDocument/2006/relationships/image" Target="media/image55.jpeg"/><Relationship Id="rId54" Type="http://schemas.openxmlformats.org/officeDocument/2006/relationships/image" Target="media/image54.jpeg"/><Relationship Id="rId53" Type="http://schemas.openxmlformats.org/officeDocument/2006/relationships/image" Target="media/image53.png"/><Relationship Id="rId52" Type="http://schemas.openxmlformats.org/officeDocument/2006/relationships/image" Target="media/image52.jpeg"/><Relationship Id="rId51" Type="http://schemas.openxmlformats.org/officeDocument/2006/relationships/image" Target="media/image51.jpeg"/><Relationship Id="rId50" Type="http://schemas.openxmlformats.org/officeDocument/2006/relationships/image" Target="media/image50.jpe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jpeg"/><Relationship Id="rId47" Type="http://schemas.openxmlformats.org/officeDocument/2006/relationships/image" Target="media/image47.jpeg"/><Relationship Id="rId46" Type="http://schemas.openxmlformats.org/officeDocument/2006/relationships/image" Target="media/image46.png"/><Relationship Id="rId45" Type="http://schemas.openxmlformats.org/officeDocument/2006/relationships/image" Target="media/image45.jpeg"/><Relationship Id="rId44" Type="http://schemas.openxmlformats.org/officeDocument/2006/relationships/image" Target="media/image44.pn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pn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pn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pn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pn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pn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hyperlink" Target="&#25991;&#29289;&#35299;&#35835;\&#28165;&#20094;&#38534;&#38738;&#33457;&#21152;&#37329;&#24425;&#33590;&#20855;&#32452;.docx" TargetMode="External"/><Relationship Id="rId5" Type="http://schemas.openxmlformats.org/officeDocument/2006/relationships/hyperlink" Target="&#25991;&#29289;&#35299;&#35835;\&#28165;&#38738;&#33457;&#23665;&#27700;&#20154;&#29289;&#32441;&#29943;&#33590;&#20855;&#32452;.docx" TargetMode="External"/><Relationship Id="rId4" Type="http://schemas.openxmlformats.org/officeDocument/2006/relationships/hyperlink" Target="&#25991;&#29289;&#35299;&#35835;\685%20&#28165;&#24247;&#29081;&#38738;&#33457;&#30718;&#32418;&#21152;&#37329;&#33590;&#22774;.docx" TargetMode="External"/><Relationship Id="rId3" Type="http://schemas.openxmlformats.org/officeDocument/2006/relationships/hyperlink" Target="&#25991;&#29289;&#35299;&#35835;\&#28165;&#40657;&#28422;&#25551;&#37329;&#33590;&#21494;&#30418;.docx" TargetMode="External"/><Relationship Id="rId2" Type="http://schemas.openxmlformats.org/officeDocument/2006/relationships/hyperlink" Target="&#25991;&#29289;&#35299;&#35835;\ZZ16%20&#28165;&#21516;&#27835;&#21400;&#29031;&#35814;&#32454;&#25991;&#29289;&#35828;&#26126;.docx" TargetMode="External"/><Relationship Id="rId1" Type="http://schemas.openxmlformats.org/officeDocument/2006/relationships/hyperlink" Target="&#25991;&#29289;&#35299;&#35835;\zz21&#21512;&#20852;&#31077;&#36816;&#21333;&#35814;&#32454;&#30340;&#25991;&#29289;&#35828;&#26126;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48576"/>
  <sheetViews>
    <sheetView tabSelected="1" workbookViewId="0">
      <selection activeCell="L3" sqref="L3"/>
    </sheetView>
  </sheetViews>
  <sheetFormatPr defaultColWidth="8.88888888888889" defaultRowHeight="14.4"/>
  <cols>
    <col min="1" max="1" width="7.33333333333333" style="4" customWidth="1"/>
    <col min="2" max="2" width="24.3333333333333" style="5" customWidth="1"/>
    <col min="3" max="3" width="9.66666666666667" style="4" customWidth="1"/>
    <col min="4" max="4" width="11.8888888888889" style="4" customWidth="1"/>
    <col min="5" max="5" width="20.8888888888889" style="4" customWidth="1"/>
    <col min="6" max="6" width="24.1111111111111" style="4" customWidth="1"/>
    <col min="7" max="7" width="18.25" style="4" customWidth="1"/>
    <col min="8" max="8" width="19.7777777777778" style="6" hidden="1" customWidth="1"/>
    <col min="9" max="9" width="55.7777777777778" style="7" hidden="1" customWidth="1"/>
    <col min="10" max="16382" width="9" style="1"/>
  </cols>
  <sheetData>
    <row r="1" s="1" customFormat="1" ht="44" customHeight="1" spans="1:9">
      <c r="A1" s="8" t="s">
        <v>0</v>
      </c>
      <c r="B1" s="8"/>
      <c r="C1" s="8"/>
      <c r="D1" s="8"/>
      <c r="E1" s="8"/>
      <c r="F1" s="8"/>
      <c r="G1" s="8"/>
      <c r="H1" s="8"/>
      <c r="I1" s="8"/>
    </row>
    <row r="2" s="2" customFormat="1" ht="49" customHeight="1" spans="1:2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27" t="s">
        <v>9</v>
      </c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2"/>
    </row>
    <row r="3" s="1" customFormat="1" ht="84.3" spans="1:24">
      <c r="A3" s="11">
        <v>1</v>
      </c>
      <c r="B3" s="12" t="s">
        <v>10</v>
      </c>
      <c r="C3" s="11" t="s">
        <v>11</v>
      </c>
      <c r="D3" s="12">
        <v>1</v>
      </c>
      <c r="E3" s="11" t="s">
        <v>12</v>
      </c>
      <c r="F3" s="11" t="str">
        <f>_xlfn.DISPIMG("ID_D6BBE8676CB14583B3291856800460ED",1)</f>
        <v>=DISPIMG("ID_D6BBE8676CB14583B3291856800460ED",1)</v>
      </c>
      <c r="G3" s="12" t="s">
        <v>13</v>
      </c>
      <c r="H3" s="13"/>
      <c r="I3" s="29"/>
      <c r="P3" s="28"/>
      <c r="Q3" s="28"/>
      <c r="R3" s="28"/>
      <c r="S3" s="28"/>
      <c r="T3" s="28"/>
      <c r="U3" s="28"/>
      <c r="V3" s="28"/>
      <c r="W3" s="28"/>
      <c r="X3" s="28"/>
    </row>
    <row r="4" s="1" customFormat="1" ht="72" spans="1:24">
      <c r="A4" s="11">
        <v>2</v>
      </c>
      <c r="B4" s="12" t="s">
        <v>14</v>
      </c>
      <c r="C4" s="14" t="s">
        <v>15</v>
      </c>
      <c r="D4" s="12">
        <v>4</v>
      </c>
      <c r="E4" s="15"/>
      <c r="F4" s="14" t="str">
        <f>_xlfn.DISPIMG("ID_6B67D696CACF4C4894702E9BF3848421",1)</f>
        <v>=DISPIMG("ID_6B67D696CACF4C4894702E9BF3848421",1)</v>
      </c>
      <c r="G4" s="12" t="s">
        <v>13</v>
      </c>
      <c r="H4" s="13" t="s">
        <v>16</v>
      </c>
      <c r="I4" s="7"/>
      <c r="P4" s="28"/>
      <c r="Q4" s="28"/>
      <c r="R4" s="28"/>
      <c r="S4" s="28"/>
      <c r="T4" s="28"/>
      <c r="U4" s="28"/>
      <c r="V4" s="28"/>
      <c r="W4" s="28"/>
      <c r="X4" s="28"/>
    </row>
    <row r="5" s="1" customFormat="1" ht="73.05" spans="1:24">
      <c r="A5" s="11">
        <v>3</v>
      </c>
      <c r="B5" s="12" t="s">
        <v>17</v>
      </c>
      <c r="C5" s="16" t="s">
        <v>15</v>
      </c>
      <c r="D5" s="12">
        <v>4</v>
      </c>
      <c r="E5" s="16"/>
      <c r="F5" s="16" t="str">
        <f>_xlfn.DISPIMG("ID_B7F1A5A2D41E432D97FB4A62680270EA",1)</f>
        <v>=DISPIMG("ID_B7F1A5A2D41E432D97FB4A62680270EA",1)</v>
      </c>
      <c r="G5" s="12" t="s">
        <v>13</v>
      </c>
      <c r="H5" s="13" t="s">
        <v>18</v>
      </c>
      <c r="I5" s="7"/>
      <c r="P5" s="28"/>
      <c r="Q5" s="28"/>
      <c r="R5" s="28"/>
      <c r="S5" s="28"/>
      <c r="T5" s="28"/>
      <c r="U5" s="28"/>
      <c r="V5" s="28"/>
      <c r="W5" s="28"/>
      <c r="X5" s="28"/>
    </row>
    <row r="6" s="1" customFormat="1" ht="72" spans="1:24">
      <c r="A6" s="11">
        <v>4</v>
      </c>
      <c r="B6" s="12" t="s">
        <v>19</v>
      </c>
      <c r="C6" s="12" t="s">
        <v>20</v>
      </c>
      <c r="D6" s="12">
        <v>1</v>
      </c>
      <c r="E6" s="12" t="s">
        <v>21</v>
      </c>
      <c r="F6" s="12" t="str">
        <f>_xlfn.DISPIMG("ID_490C2106395B4BC59AEFCE05FEFD3619",1)</f>
        <v>=DISPIMG("ID_490C2106395B4BC59AEFCE05FEFD3619",1)</v>
      </c>
      <c r="G6" s="12" t="s">
        <v>13</v>
      </c>
      <c r="H6" s="13" t="s">
        <v>22</v>
      </c>
      <c r="I6" s="7" t="s">
        <v>23</v>
      </c>
      <c r="P6" s="28"/>
      <c r="Q6" s="28"/>
      <c r="R6" s="28"/>
      <c r="S6" s="28"/>
      <c r="T6" s="28"/>
      <c r="U6" s="28"/>
      <c r="V6" s="28"/>
      <c r="W6" s="28"/>
      <c r="X6" s="28"/>
    </row>
    <row r="7" s="1" customFormat="1" ht="65" customHeight="1" spans="1:9">
      <c r="A7" s="11">
        <v>5</v>
      </c>
      <c r="B7" s="12" t="s">
        <v>24</v>
      </c>
      <c r="C7" s="17" t="s">
        <v>20</v>
      </c>
      <c r="D7" s="12">
        <v>1</v>
      </c>
      <c r="E7" s="18" t="s">
        <v>21</v>
      </c>
      <c r="F7" s="18" t="str">
        <f>_xlfn.DISPIMG("ID_C3B6455039E049E99B1A8A11C7317226",1)</f>
        <v>=DISPIMG("ID_C3B6455039E049E99B1A8A11C7317226",1)</v>
      </c>
      <c r="G7" s="12" t="s">
        <v>13</v>
      </c>
      <c r="H7" s="13" t="s">
        <v>22</v>
      </c>
      <c r="I7" s="7"/>
    </row>
    <row r="8" s="1" customFormat="1" ht="67" customHeight="1" spans="1:9">
      <c r="A8" s="11">
        <v>6</v>
      </c>
      <c r="B8" s="12" t="s">
        <v>25</v>
      </c>
      <c r="C8" s="17" t="s">
        <v>20</v>
      </c>
      <c r="D8" s="12">
        <v>1</v>
      </c>
      <c r="E8" s="18" t="s">
        <v>21</v>
      </c>
      <c r="F8" s="18" t="str">
        <f>_xlfn.DISPIMG("ID_86B16AFDEF904B2D8404AD27B9140A92",1)</f>
        <v>=DISPIMG("ID_86B16AFDEF904B2D8404AD27B9140A92",1)</v>
      </c>
      <c r="G8" s="12" t="s">
        <v>13</v>
      </c>
      <c r="H8" s="13" t="s">
        <v>22</v>
      </c>
      <c r="I8" s="7"/>
    </row>
    <row r="9" s="1" customFormat="1" ht="70" customHeight="1" spans="1:9">
      <c r="A9" s="11">
        <v>7</v>
      </c>
      <c r="B9" s="14" t="s">
        <v>26</v>
      </c>
      <c r="C9" s="19" t="s">
        <v>27</v>
      </c>
      <c r="D9" s="12">
        <v>1</v>
      </c>
      <c r="E9" s="18" t="s">
        <v>28</v>
      </c>
      <c r="F9" s="18" t="str">
        <f>_xlfn.DISPIMG("ID_831A321137F141A09CCE7C22534A8F85",1)</f>
        <v>=DISPIMG("ID_831A321137F141A09CCE7C22534A8F85",1)</v>
      </c>
      <c r="G9" s="12" t="s">
        <v>13</v>
      </c>
      <c r="H9" s="13" t="s">
        <v>22</v>
      </c>
      <c r="I9" s="7" t="s">
        <v>29</v>
      </c>
    </row>
    <row r="10" s="1" customFormat="1" ht="77" customHeight="1" spans="1:9">
      <c r="A10" s="11">
        <v>8</v>
      </c>
      <c r="B10" s="14" t="s">
        <v>30</v>
      </c>
      <c r="C10" s="19" t="s">
        <v>27</v>
      </c>
      <c r="D10" s="12">
        <v>1</v>
      </c>
      <c r="E10" s="18" t="s">
        <v>28</v>
      </c>
      <c r="F10" s="18" t="str">
        <f>_xlfn.DISPIMG("ID_1C9DC52574B34676AD56559496AB67AD",1)</f>
        <v>=DISPIMG("ID_1C9DC52574B34676AD56559496AB67AD",1)</v>
      </c>
      <c r="G10" s="12" t="s">
        <v>13</v>
      </c>
      <c r="H10" s="13" t="s">
        <v>22</v>
      </c>
      <c r="I10" s="7" t="s">
        <v>31</v>
      </c>
    </row>
    <row r="11" s="1" customFormat="1" ht="73" customHeight="1" spans="1:9">
      <c r="A11" s="11">
        <v>9</v>
      </c>
      <c r="B11" s="20" t="s">
        <v>32</v>
      </c>
      <c r="C11" s="19" t="s">
        <v>27</v>
      </c>
      <c r="D11" s="12">
        <v>1</v>
      </c>
      <c r="E11" s="12" t="s">
        <v>33</v>
      </c>
      <c r="F11" s="18" t="str">
        <f>_xlfn.DISPIMG("ID_74CCC6F65D25411589ACDE4E9D819A66",1)</f>
        <v>=DISPIMG("ID_74CCC6F65D25411589ACDE4E9D819A66",1)</v>
      </c>
      <c r="G11" s="12" t="s">
        <v>13</v>
      </c>
      <c r="H11" s="13"/>
      <c r="I11" s="30" t="s">
        <v>34</v>
      </c>
    </row>
    <row r="12" s="3" customFormat="1" ht="80" customHeight="1" spans="1:9">
      <c r="A12" s="11">
        <v>10</v>
      </c>
      <c r="B12" s="20" t="s">
        <v>35</v>
      </c>
      <c r="C12" s="18" t="s">
        <v>27</v>
      </c>
      <c r="D12" s="18">
        <v>6</v>
      </c>
      <c r="E12" s="12" t="s">
        <v>36</v>
      </c>
      <c r="F12" s="18" t="str">
        <f>_xlfn.DISPIMG("ID_A9C8B14AE0EB4C3082098DA801C13540",1)</f>
        <v>=DISPIMG("ID_A9C8B14AE0EB4C3082098DA801C13540",1)</v>
      </c>
      <c r="G12" s="18" t="s">
        <v>13</v>
      </c>
      <c r="H12" s="21"/>
      <c r="I12" s="7"/>
    </row>
    <row r="13" s="3" customFormat="1" ht="70" customHeight="1" spans="1:9">
      <c r="A13" s="11">
        <v>11</v>
      </c>
      <c r="B13" s="20" t="s">
        <v>37</v>
      </c>
      <c r="C13" s="18" t="s">
        <v>27</v>
      </c>
      <c r="D13" s="18">
        <v>4</v>
      </c>
      <c r="E13" s="12" t="s">
        <v>38</v>
      </c>
      <c r="F13" s="18" t="str">
        <f>_xlfn.DISPIMG("ID_C2882E864CF04B33BD27CE5274133262",1)</f>
        <v>=DISPIMG("ID_C2882E864CF04B33BD27CE5274133262",1)</v>
      </c>
      <c r="G13" s="18" t="s">
        <v>13</v>
      </c>
      <c r="H13" s="21" t="s">
        <v>39</v>
      </c>
      <c r="I13" s="7"/>
    </row>
    <row r="14" s="1" customFormat="1" ht="104" customHeight="1" spans="1:9">
      <c r="A14" s="11">
        <v>12</v>
      </c>
      <c r="B14" s="20" t="s">
        <v>40</v>
      </c>
      <c r="C14" s="18" t="s">
        <v>27</v>
      </c>
      <c r="D14" s="18">
        <v>1</v>
      </c>
      <c r="E14" s="12" t="s">
        <v>41</v>
      </c>
      <c r="F14" s="18" t="str">
        <f>_xlfn.DISPIMG("ID_56A6E8C11F04433DBE647B2DA2B62B3A",1)</f>
        <v>=DISPIMG("ID_56A6E8C11F04433DBE647B2DA2B62B3A",1)</v>
      </c>
      <c r="G14" s="18" t="s">
        <v>13</v>
      </c>
      <c r="H14" s="21"/>
      <c r="I14" s="7" t="s">
        <v>42</v>
      </c>
    </row>
    <row r="15" s="1" customFormat="1" ht="79.55" spans="1:9">
      <c r="A15" s="11">
        <v>13</v>
      </c>
      <c r="B15" s="20" t="s">
        <v>43</v>
      </c>
      <c r="C15" s="22" t="s">
        <v>27</v>
      </c>
      <c r="D15" s="22">
        <v>2</v>
      </c>
      <c r="E15" s="22" t="s">
        <v>44</v>
      </c>
      <c r="F15" s="22" t="str">
        <f>_xlfn.DISPIMG("ID_BC64AA08E85D4AF2A6F142B7415838CA",1)</f>
        <v>=DISPIMG("ID_BC64AA08E85D4AF2A6F142B7415838CA",1)</v>
      </c>
      <c r="G15" s="18" t="s">
        <v>13</v>
      </c>
      <c r="H15" s="23"/>
      <c r="I15" s="7" t="s">
        <v>45</v>
      </c>
    </row>
    <row r="16" s="1" customFormat="1" ht="115.2" spans="1:9">
      <c r="A16" s="11">
        <v>14</v>
      </c>
      <c r="B16" s="20" t="s">
        <v>46</v>
      </c>
      <c r="C16" s="22" t="s">
        <v>27</v>
      </c>
      <c r="D16" s="18">
        <v>2</v>
      </c>
      <c r="E16" s="12" t="s">
        <v>47</v>
      </c>
      <c r="F16" s="18" t="str">
        <f>_xlfn.DISPIMG("ID_C2573738E39242C7A2D40B3DFC1DF9AF",1)</f>
        <v>=DISPIMG("ID_C2573738E39242C7A2D40B3DFC1DF9AF",1)</v>
      </c>
      <c r="G16" s="18" t="s">
        <v>13</v>
      </c>
      <c r="H16" s="13"/>
      <c r="I16" s="7" t="s">
        <v>48</v>
      </c>
    </row>
    <row r="17" s="1" customFormat="1" ht="78.4" spans="1:9">
      <c r="A17" s="11">
        <v>15</v>
      </c>
      <c r="B17" s="20" t="s">
        <v>49</v>
      </c>
      <c r="C17" s="22" t="s">
        <v>27</v>
      </c>
      <c r="D17" s="18">
        <v>1</v>
      </c>
      <c r="E17" s="12" t="s">
        <v>50</v>
      </c>
      <c r="F17" s="18" t="str">
        <f>_xlfn.DISPIMG("ID_4744D54526084CDFAE3DEF6D867DC533",1)</f>
        <v>=DISPIMG("ID_4744D54526084CDFAE3DEF6D867DC533",1)</v>
      </c>
      <c r="G17" s="18" t="s">
        <v>13</v>
      </c>
      <c r="H17" s="13"/>
      <c r="I17" s="7" t="s">
        <v>51</v>
      </c>
    </row>
    <row r="18" s="1" customFormat="1" ht="80.15" spans="1:9">
      <c r="A18" s="11">
        <v>16</v>
      </c>
      <c r="B18" s="20" t="s">
        <v>52</v>
      </c>
      <c r="C18" s="22" t="s">
        <v>27</v>
      </c>
      <c r="D18" s="18">
        <v>1</v>
      </c>
      <c r="E18" s="12" t="s">
        <v>53</v>
      </c>
      <c r="F18" s="18" t="str">
        <f>_xlfn.DISPIMG("ID_CC0082DC5EC7404E87699CE4C3014E88",1)</f>
        <v>=DISPIMG("ID_CC0082DC5EC7404E87699CE4C3014E88",1)</v>
      </c>
      <c r="G18" s="18" t="s">
        <v>13</v>
      </c>
      <c r="H18" s="13"/>
      <c r="I18" s="7"/>
    </row>
    <row r="19" s="1" customFormat="1" ht="100.8" spans="1:9">
      <c r="A19" s="11">
        <v>17</v>
      </c>
      <c r="B19" s="20" t="s">
        <v>54</v>
      </c>
      <c r="C19" s="22" t="s">
        <v>27</v>
      </c>
      <c r="D19" s="18">
        <v>1</v>
      </c>
      <c r="E19" s="12" t="s">
        <v>55</v>
      </c>
      <c r="F19" s="18" t="str">
        <f>_xlfn.DISPIMG("ID_C577460829964452BFFE339BFCCEE9B1",1)</f>
        <v>=DISPIMG("ID_C577460829964452BFFE339BFCCEE9B1",1)</v>
      </c>
      <c r="G19" s="18" t="s">
        <v>13</v>
      </c>
      <c r="H19" s="13"/>
      <c r="I19" s="7" t="s">
        <v>56</v>
      </c>
    </row>
    <row r="20" s="1" customFormat="1" ht="101" customHeight="1" spans="1:9">
      <c r="A20" s="11">
        <v>18</v>
      </c>
      <c r="B20" s="20" t="s">
        <v>57</v>
      </c>
      <c r="C20" s="18" t="s">
        <v>27</v>
      </c>
      <c r="D20" s="18">
        <v>1</v>
      </c>
      <c r="E20" s="12" t="s">
        <v>58</v>
      </c>
      <c r="F20" s="18" t="str">
        <f>_xlfn.DISPIMG("ID_36A9800A47D14112AE567CE1783BE242",1)</f>
        <v>=DISPIMG("ID_36A9800A47D14112AE567CE1783BE242",1)</v>
      </c>
      <c r="G20" s="18" t="s">
        <v>13</v>
      </c>
      <c r="H20" s="13"/>
      <c r="I20" s="7" t="s">
        <v>59</v>
      </c>
    </row>
    <row r="21" s="1" customFormat="1" ht="72.3" spans="1:9">
      <c r="A21" s="11">
        <v>19</v>
      </c>
      <c r="B21" s="20" t="s">
        <v>60</v>
      </c>
      <c r="C21" s="22" t="s">
        <v>27</v>
      </c>
      <c r="D21" s="18">
        <v>2</v>
      </c>
      <c r="E21" s="12" t="s">
        <v>61</v>
      </c>
      <c r="F21" s="18" t="str">
        <f>_xlfn.DISPIMG("ID_981E4121E9DB4B238D3490669A135683",1)</f>
        <v>=DISPIMG("ID_981E4121E9DB4B238D3490669A135683",1)</v>
      </c>
      <c r="G21" s="18" t="s">
        <v>13</v>
      </c>
      <c r="H21" s="13" t="s">
        <v>18</v>
      </c>
      <c r="I21" s="7" t="s">
        <v>62</v>
      </c>
    </row>
    <row r="22" s="1" customFormat="1" ht="83.75" spans="1:9">
      <c r="A22" s="11">
        <v>20</v>
      </c>
      <c r="B22" s="20" t="s">
        <v>63</v>
      </c>
      <c r="C22" s="18" t="s">
        <v>27</v>
      </c>
      <c r="D22" s="18">
        <v>6</v>
      </c>
      <c r="E22" s="18" t="s">
        <v>64</v>
      </c>
      <c r="F22" s="18" t="str">
        <f>_xlfn.DISPIMG("ID_FBB5EA7D0D284FFFAEAB5453712B6D67",1)</f>
        <v>=DISPIMG("ID_FBB5EA7D0D284FFFAEAB5453712B6D67",1)</v>
      </c>
      <c r="G22" s="18" t="s">
        <v>13</v>
      </c>
      <c r="H22" s="13" t="s">
        <v>18</v>
      </c>
      <c r="I22" s="7"/>
    </row>
    <row r="23" s="1" customFormat="1" ht="82" spans="1:9">
      <c r="A23" s="11">
        <v>21</v>
      </c>
      <c r="B23" s="20" t="s">
        <v>65</v>
      </c>
      <c r="C23" s="22" t="s">
        <v>27</v>
      </c>
      <c r="D23" s="18">
        <v>1</v>
      </c>
      <c r="E23" s="12" t="s">
        <v>66</v>
      </c>
      <c r="F23" s="18" t="str">
        <f>_xlfn.DISPIMG("ID_C2FDFF66414B4338B5923790B8AA0C00",1)</f>
        <v>=DISPIMG("ID_C2FDFF66414B4338B5923790B8AA0C00",1)</v>
      </c>
      <c r="G23" s="18" t="s">
        <v>13</v>
      </c>
      <c r="H23" s="13" t="s">
        <v>18</v>
      </c>
      <c r="I23" s="30" t="s">
        <v>67</v>
      </c>
    </row>
    <row r="24" s="1" customFormat="1" ht="96.55" spans="1:9">
      <c r="A24" s="11">
        <v>22</v>
      </c>
      <c r="B24" s="20" t="s">
        <v>68</v>
      </c>
      <c r="C24" s="18" t="s">
        <v>27</v>
      </c>
      <c r="D24" s="18">
        <v>1</v>
      </c>
      <c r="E24" s="12" t="s">
        <v>69</v>
      </c>
      <c r="F24" s="18" t="str">
        <f>_xlfn.DISPIMG("ID_BF971C240B1C4CC48F132E1631F9BACB",1)</f>
        <v>=DISPIMG("ID_BF971C240B1C4CC48F132E1631F9BACB",1)</v>
      </c>
      <c r="G24" s="18" t="s">
        <v>13</v>
      </c>
      <c r="H24" s="13" t="s">
        <v>18</v>
      </c>
      <c r="I24" s="30" t="s">
        <v>70</v>
      </c>
    </row>
    <row r="25" s="2" customFormat="1" ht="73.45" spans="1:15">
      <c r="A25" s="11">
        <v>23</v>
      </c>
      <c r="B25" s="20" t="s">
        <v>71</v>
      </c>
      <c r="C25" s="18" t="s">
        <v>72</v>
      </c>
      <c r="D25" s="18">
        <v>1</v>
      </c>
      <c r="E25" s="12" t="s">
        <v>73</v>
      </c>
      <c r="F25" s="18" t="str">
        <f>_xlfn.DISPIMG("ID_4F935A8FD4484994BFECEE2FC3B80F4C",1)</f>
        <v>=DISPIMG("ID_4F935A8FD4484994BFECEE2FC3B80F4C",1)</v>
      </c>
      <c r="G25" s="18" t="s">
        <v>13</v>
      </c>
      <c r="H25" s="21"/>
      <c r="I25" s="31" t="s">
        <v>74</v>
      </c>
      <c r="J25" s="28"/>
      <c r="K25" s="28"/>
      <c r="L25" s="28"/>
      <c r="M25" s="28"/>
      <c r="N25" s="28"/>
      <c r="O25" s="32"/>
    </row>
    <row r="26" s="2" customFormat="1" ht="83" customHeight="1" spans="1:15">
      <c r="A26" s="11">
        <v>24</v>
      </c>
      <c r="B26" s="20" t="s">
        <v>75</v>
      </c>
      <c r="C26" s="18" t="s">
        <v>72</v>
      </c>
      <c r="D26" s="18">
        <v>1</v>
      </c>
      <c r="E26" s="12" t="s">
        <v>76</v>
      </c>
      <c r="F26" s="18" t="str">
        <f>_xlfn.DISPIMG("ID_92DB5381195641239727250E242EAF12",1)</f>
        <v>=DISPIMG("ID_92DB5381195641239727250E242EAF12",1)</v>
      </c>
      <c r="G26" s="18" t="s">
        <v>13</v>
      </c>
      <c r="H26" s="21"/>
      <c r="I26" s="33" t="s">
        <v>77</v>
      </c>
      <c r="J26" s="28"/>
      <c r="K26" s="28"/>
      <c r="L26" s="28"/>
      <c r="M26" s="28"/>
      <c r="N26" s="28"/>
      <c r="O26" s="32"/>
    </row>
    <row r="27" s="2" customFormat="1" ht="98" customHeight="1" spans="1:25">
      <c r="A27" s="11">
        <v>25</v>
      </c>
      <c r="B27" s="20" t="s">
        <v>78</v>
      </c>
      <c r="C27" s="18" t="s">
        <v>72</v>
      </c>
      <c r="D27" s="18">
        <v>1</v>
      </c>
      <c r="E27" s="12" t="s">
        <v>79</v>
      </c>
      <c r="F27" s="18" t="str">
        <f>_xlfn.DISPIMG("ID_A64E66B004274CF098703B84A0FD8CC7",1)</f>
        <v>=DISPIMG("ID_A64E66B004274CF098703B84A0FD8CC7",1)</v>
      </c>
      <c r="G27" s="18" t="s">
        <v>13</v>
      </c>
      <c r="H27" s="21"/>
      <c r="I27" s="33" t="s">
        <v>80</v>
      </c>
      <c r="J27" s="28"/>
      <c r="K27" s="28"/>
      <c r="L27" s="28"/>
      <c r="M27" s="28"/>
      <c r="N27" s="28"/>
      <c r="O27" s="34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="2" customFormat="1" ht="86.4" spans="1:26">
      <c r="A28" s="11">
        <v>26</v>
      </c>
      <c r="B28" s="20" t="s">
        <v>81</v>
      </c>
      <c r="C28" s="18" t="s">
        <v>72</v>
      </c>
      <c r="D28" s="18">
        <v>1</v>
      </c>
      <c r="E28" s="12" t="s">
        <v>82</v>
      </c>
      <c r="F28" s="18" t="str">
        <f>_xlfn.DISPIMG("ID_FD6FE1CE692D41B88F4D14D5A4E6684A",1)</f>
        <v>=DISPIMG("ID_FD6FE1CE692D41B88F4D14D5A4E6684A",1)</v>
      </c>
      <c r="G28" s="18" t="s">
        <v>13</v>
      </c>
      <c r="H28" s="21"/>
      <c r="I28" s="33" t="s">
        <v>83</v>
      </c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32"/>
    </row>
    <row r="29" s="2" customFormat="1" ht="72" spans="1:26">
      <c r="A29" s="11">
        <v>27</v>
      </c>
      <c r="B29" s="20" t="s">
        <v>84</v>
      </c>
      <c r="C29" s="18" t="s">
        <v>72</v>
      </c>
      <c r="D29" s="18">
        <v>2</v>
      </c>
      <c r="E29" s="12" t="s">
        <v>85</v>
      </c>
      <c r="F29" s="18" t="str">
        <f>_xlfn.DISPIMG("ID_34BD7D667E6B4CD586E19481CB31E980",1)</f>
        <v>=DISPIMG("ID_34BD7D667E6B4CD586E19481CB31E980",1)</v>
      </c>
      <c r="G29" s="18" t="s">
        <v>13</v>
      </c>
      <c r="H29" s="21"/>
      <c r="I29" s="33" t="s">
        <v>86</v>
      </c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32"/>
    </row>
    <row r="30" s="2" customFormat="1" ht="75" customHeight="1" spans="1:25">
      <c r="A30" s="11">
        <v>28</v>
      </c>
      <c r="B30" s="20" t="s">
        <v>87</v>
      </c>
      <c r="C30" s="18" t="s">
        <v>88</v>
      </c>
      <c r="D30" s="18">
        <v>1</v>
      </c>
      <c r="E30" s="12" t="s">
        <v>89</v>
      </c>
      <c r="F30" s="18" t="str">
        <f>_xlfn.DISPIMG("ID_6AF28EEF55F24CBE8C8C5549EE7C2567",1)</f>
        <v>=DISPIMG("ID_6AF28EEF55F24CBE8C8C5549EE7C2567",1)</v>
      </c>
      <c r="G30" s="18" t="s">
        <v>13</v>
      </c>
      <c r="H30" s="21"/>
      <c r="I30" s="33" t="s">
        <v>90</v>
      </c>
      <c r="J30" s="28"/>
      <c r="K30" s="28"/>
      <c r="L30" s="28"/>
      <c r="M30" s="28"/>
      <c r="N30" s="28"/>
      <c r="O30" s="36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="2" customFormat="1" ht="174" customHeight="1" spans="1:15">
      <c r="A31" s="11">
        <v>29</v>
      </c>
      <c r="B31" s="20" t="s">
        <v>91</v>
      </c>
      <c r="C31" s="18" t="s">
        <v>27</v>
      </c>
      <c r="D31" s="18">
        <v>8</v>
      </c>
      <c r="E31" s="12" t="s">
        <v>92</v>
      </c>
      <c r="F31" s="18" t="str">
        <f>_xlfn.DISPIMG("ID_218D8A71B6CF4385B7B74D436815BD11",1)</f>
        <v>=DISPIMG("ID_218D8A71B6CF4385B7B74D436815BD11",1)</v>
      </c>
      <c r="G31" s="18" t="s">
        <v>13</v>
      </c>
      <c r="H31" s="24" t="s">
        <v>93</v>
      </c>
      <c r="I31" s="31" t="s">
        <v>94</v>
      </c>
      <c r="J31" s="28"/>
      <c r="K31" s="28"/>
      <c r="L31" s="28"/>
      <c r="M31" s="28"/>
      <c r="N31" s="28"/>
      <c r="O31" s="32"/>
    </row>
    <row r="32" s="1" customFormat="1" ht="74.3" spans="1:9">
      <c r="A32" s="11">
        <v>30</v>
      </c>
      <c r="B32" s="20" t="s">
        <v>95</v>
      </c>
      <c r="C32" s="18" t="s">
        <v>20</v>
      </c>
      <c r="D32" s="18">
        <v>1</v>
      </c>
      <c r="E32" s="12" t="s">
        <v>96</v>
      </c>
      <c r="F32" s="18" t="str">
        <f>_xlfn.DISPIMG("ID_F411158B1F3A446BB45868DE64BAA9A6",1)</f>
        <v>=DISPIMG("ID_F411158B1F3A446BB45868DE64BAA9A6",1)</v>
      </c>
      <c r="G32" s="18" t="s">
        <v>13</v>
      </c>
      <c r="H32" s="24"/>
      <c r="I32" s="29"/>
    </row>
    <row r="33" s="1" customFormat="1" ht="237" customHeight="1" spans="1:9">
      <c r="A33" s="11">
        <v>31</v>
      </c>
      <c r="B33" s="20" t="s">
        <v>97</v>
      </c>
      <c r="C33" s="18" t="s">
        <v>27</v>
      </c>
      <c r="D33" s="18">
        <v>8</v>
      </c>
      <c r="E33" s="12" t="s">
        <v>98</v>
      </c>
      <c r="F33" s="18" t="str">
        <f>_xlfn.DISPIMG("ID_6B65CD20156246BFA5A8B3F3C93D5A0C",1)</f>
        <v>=DISPIMG("ID_6B65CD20156246BFA5A8B3F3C93D5A0C",1)</v>
      </c>
      <c r="G33" s="18" t="s">
        <v>13</v>
      </c>
      <c r="H33" s="24"/>
      <c r="I33" s="30" t="s">
        <v>99</v>
      </c>
    </row>
    <row r="34" s="1" customFormat="1" ht="78" customHeight="1" spans="1:9">
      <c r="A34" s="11">
        <v>32</v>
      </c>
      <c r="B34" s="20" t="s">
        <v>100</v>
      </c>
      <c r="C34" s="18" t="s">
        <v>27</v>
      </c>
      <c r="D34" s="18">
        <v>1</v>
      </c>
      <c r="E34" s="12" t="s">
        <v>101</v>
      </c>
      <c r="F34" s="18" t="str">
        <f>_xlfn.DISPIMG("ID_78FE5C74B69344F58E69B0ADB8853AF1",1)</f>
        <v>=DISPIMG("ID_78FE5C74B69344F58E69B0ADB8853AF1",1)</v>
      </c>
      <c r="G34" s="18" t="s">
        <v>13</v>
      </c>
      <c r="H34" s="21"/>
      <c r="I34" s="7" t="s">
        <v>102</v>
      </c>
    </row>
    <row r="35" s="1" customFormat="1" ht="69.15" spans="1:9">
      <c r="A35" s="11">
        <v>33</v>
      </c>
      <c r="B35" s="20" t="s">
        <v>103</v>
      </c>
      <c r="C35" s="18" t="s">
        <v>27</v>
      </c>
      <c r="D35" s="18">
        <v>1</v>
      </c>
      <c r="E35" s="12" t="s">
        <v>104</v>
      </c>
      <c r="F35" s="18" t="str">
        <f>_xlfn.DISPIMG("ID_2469B2844CFE41ADAF8E1B39201E383E",1)</f>
        <v>=DISPIMG("ID_2469B2844CFE41ADAF8E1B39201E383E",1)</v>
      </c>
      <c r="G35" s="18" t="s">
        <v>13</v>
      </c>
      <c r="H35" s="21"/>
      <c r="I35" s="7" t="s">
        <v>105</v>
      </c>
    </row>
    <row r="36" s="1" customFormat="1" ht="70.15" spans="1:9">
      <c r="A36" s="11">
        <v>34</v>
      </c>
      <c r="B36" s="20" t="s">
        <v>106</v>
      </c>
      <c r="C36" s="18" t="s">
        <v>27</v>
      </c>
      <c r="D36" s="18">
        <v>1</v>
      </c>
      <c r="E36" s="12" t="s">
        <v>107</v>
      </c>
      <c r="F36" s="18" t="str">
        <f>_xlfn.DISPIMG("ID_41DAF3C9CA374A669A3B391072FFAC89",1)</f>
        <v>=DISPIMG("ID_41DAF3C9CA374A669A3B391072FFAC89",1)</v>
      </c>
      <c r="G36" s="18" t="s">
        <v>13</v>
      </c>
      <c r="H36" s="21"/>
      <c r="I36" s="7" t="s">
        <v>108</v>
      </c>
    </row>
    <row r="37" s="1" customFormat="1" ht="65.55" spans="1:9">
      <c r="A37" s="11">
        <v>35</v>
      </c>
      <c r="B37" s="20" t="s">
        <v>109</v>
      </c>
      <c r="C37" s="18" t="s">
        <v>110</v>
      </c>
      <c r="D37" s="18">
        <v>1</v>
      </c>
      <c r="E37" s="12" t="s">
        <v>111</v>
      </c>
      <c r="F37" s="18" t="str">
        <f>_xlfn.DISPIMG("ID_6D88F36830894316B5AB370CA2EF38F2",1)</f>
        <v>=DISPIMG("ID_6D88F36830894316B5AB370CA2EF38F2",1)</v>
      </c>
      <c r="G37" s="18" t="s">
        <v>13</v>
      </c>
      <c r="H37" s="21"/>
      <c r="I37" s="7"/>
    </row>
    <row r="38" s="1" customFormat="1" ht="71.7" spans="1:9">
      <c r="A38" s="11">
        <v>36</v>
      </c>
      <c r="B38" s="20" t="s">
        <v>112</v>
      </c>
      <c r="C38" s="18" t="s">
        <v>20</v>
      </c>
      <c r="D38" s="18">
        <v>1</v>
      </c>
      <c r="E38" s="12" t="s">
        <v>113</v>
      </c>
      <c r="F38" s="18" t="str">
        <f>_xlfn.DISPIMG("ID_E7B78F74865449BFAAD06742DBAC31B1",1)</f>
        <v>=DISPIMG("ID_E7B78F74865449BFAAD06742DBAC31B1",1)</v>
      </c>
      <c r="G38" s="18" t="s">
        <v>13</v>
      </c>
      <c r="H38" s="21"/>
      <c r="I38" s="7"/>
    </row>
    <row r="39" s="1" customFormat="1" ht="63.55" spans="1:9">
      <c r="A39" s="11">
        <v>37</v>
      </c>
      <c r="B39" s="20" t="s">
        <v>114</v>
      </c>
      <c r="C39" s="18" t="s">
        <v>72</v>
      </c>
      <c r="D39" s="18">
        <v>1</v>
      </c>
      <c r="E39" s="12" t="s">
        <v>115</v>
      </c>
      <c r="F39" s="18" t="str">
        <f>_xlfn.DISPIMG("ID_56D68788E0FB4044B20339A6F7AF79BC",1)</f>
        <v>=DISPIMG("ID_56D68788E0FB4044B20339A6F7AF79BC",1)</v>
      </c>
      <c r="G39" s="18" t="s">
        <v>13</v>
      </c>
      <c r="H39" s="21"/>
      <c r="I39" s="7" t="s">
        <v>116</v>
      </c>
    </row>
    <row r="40" s="1" customFormat="1" ht="84.05" spans="1:9">
      <c r="A40" s="11">
        <v>38</v>
      </c>
      <c r="B40" s="20" t="s">
        <v>117</v>
      </c>
      <c r="C40" s="18" t="s">
        <v>27</v>
      </c>
      <c r="D40" s="18">
        <v>1</v>
      </c>
      <c r="E40" s="12" t="s">
        <v>118</v>
      </c>
      <c r="F40" s="18" t="str">
        <f>_xlfn.DISPIMG("ID_8BFCDACB10D2425CB7185AA1A3B93B0C",1)</f>
        <v>=DISPIMG("ID_8BFCDACB10D2425CB7185AA1A3B93B0C",1)</v>
      </c>
      <c r="G40" s="18" t="s">
        <v>13</v>
      </c>
      <c r="H40" s="21"/>
      <c r="I40" s="7"/>
    </row>
    <row r="41" s="1" customFormat="1" ht="74.3" spans="1:9">
      <c r="A41" s="11">
        <v>39</v>
      </c>
      <c r="B41" s="20" t="s">
        <v>119</v>
      </c>
      <c r="C41" s="18" t="s">
        <v>27</v>
      </c>
      <c r="D41" s="18">
        <v>1</v>
      </c>
      <c r="E41" s="12" t="s">
        <v>120</v>
      </c>
      <c r="F41" s="18" t="str">
        <f>_xlfn.DISPIMG("ID_1A37BDA5AC054F129B0FF2C30194AAAA",1)</f>
        <v>=DISPIMG("ID_1A37BDA5AC054F129B0FF2C30194AAAA",1)</v>
      </c>
      <c r="G41" s="18" t="s">
        <v>13</v>
      </c>
      <c r="H41" s="21"/>
      <c r="I41" s="7" t="s">
        <v>121</v>
      </c>
    </row>
    <row r="42" s="3" customFormat="1" ht="78" customHeight="1" spans="1:9">
      <c r="A42" s="11">
        <v>40</v>
      </c>
      <c r="B42" s="25" t="s">
        <v>122</v>
      </c>
      <c r="C42" s="18" t="s">
        <v>27</v>
      </c>
      <c r="D42" s="18">
        <v>1</v>
      </c>
      <c r="E42" s="12" t="s">
        <v>123</v>
      </c>
      <c r="F42" s="18" t="str">
        <f>_xlfn.DISPIMG("ID_4E9DB6543CB247AD99DC73EE695BC7C4",1)</f>
        <v>=DISPIMG("ID_4E9DB6543CB247AD99DC73EE695BC7C4",1)</v>
      </c>
      <c r="G42" s="18" t="s">
        <v>13</v>
      </c>
      <c r="H42" s="26"/>
      <c r="I42" s="7" t="s">
        <v>124</v>
      </c>
    </row>
    <row r="43" s="1" customFormat="1" ht="63.8" spans="1:9">
      <c r="A43" s="11">
        <v>41</v>
      </c>
      <c r="B43" s="20" t="s">
        <v>125</v>
      </c>
      <c r="C43" s="18" t="s">
        <v>27</v>
      </c>
      <c r="D43" s="18">
        <v>1</v>
      </c>
      <c r="E43" s="12" t="s">
        <v>126</v>
      </c>
      <c r="F43" s="18" t="str">
        <f>_xlfn.DISPIMG("ID_ABC54B1909B04F88BAF0E9CE14529CD0",1)</f>
        <v>=DISPIMG("ID_ABC54B1909B04F88BAF0E9CE14529CD0",1)</v>
      </c>
      <c r="G43" s="18" t="s">
        <v>13</v>
      </c>
      <c r="H43" s="21"/>
      <c r="I43" s="7"/>
    </row>
    <row r="44" s="1" customFormat="1" ht="66" customHeight="1" spans="1:9">
      <c r="A44" s="11">
        <v>42</v>
      </c>
      <c r="B44" s="20" t="s">
        <v>127</v>
      </c>
      <c r="C44" s="18" t="s">
        <v>27</v>
      </c>
      <c r="D44" s="18">
        <v>1</v>
      </c>
      <c r="E44" s="12" t="s">
        <v>128</v>
      </c>
      <c r="F44" s="18" t="str">
        <f>_xlfn.DISPIMG("ID_E6A2813B549549269BB141C2DCE8A67F",1)</f>
        <v>=DISPIMG("ID_E6A2813B549549269BB141C2DCE8A67F",1)</v>
      </c>
      <c r="G44" s="18" t="s">
        <v>13</v>
      </c>
      <c r="H44" s="21"/>
      <c r="I44" s="7" t="s">
        <v>129</v>
      </c>
    </row>
    <row r="45" s="1" customFormat="1" ht="62" customHeight="1" spans="1:9">
      <c r="A45" s="11">
        <v>43</v>
      </c>
      <c r="B45" s="20" t="s">
        <v>130</v>
      </c>
      <c r="C45" s="18" t="s">
        <v>27</v>
      </c>
      <c r="D45" s="18">
        <v>1</v>
      </c>
      <c r="E45" s="12" t="s">
        <v>131</v>
      </c>
      <c r="F45" s="18" t="str">
        <f>_xlfn.DISPIMG("ID_E527720799474DFDBB12A1BB412D02A2",1)</f>
        <v>=DISPIMG("ID_E527720799474DFDBB12A1BB412D02A2",1)</v>
      </c>
      <c r="G45" s="18" t="s">
        <v>13</v>
      </c>
      <c r="H45" s="21"/>
      <c r="I45" s="7" t="s">
        <v>132</v>
      </c>
    </row>
    <row r="46" s="1" customFormat="1" ht="68" customHeight="1" spans="1:9">
      <c r="A46" s="11">
        <v>44</v>
      </c>
      <c r="B46" s="20" t="s">
        <v>133</v>
      </c>
      <c r="C46" s="18" t="s">
        <v>27</v>
      </c>
      <c r="D46" s="18">
        <v>2</v>
      </c>
      <c r="E46" s="12" t="s">
        <v>134</v>
      </c>
      <c r="F46" s="18" t="str">
        <f>_xlfn.DISPIMG("ID_AAA291B11682431A8341144388C97CA3",1)</f>
        <v>=DISPIMG("ID_AAA291B11682431A8341144388C97CA3",1)</v>
      </c>
      <c r="G46" s="18" t="s">
        <v>13</v>
      </c>
      <c r="H46" s="21"/>
      <c r="I46" s="7" t="s">
        <v>135</v>
      </c>
    </row>
    <row r="47" s="1" customFormat="1" ht="78" customHeight="1" spans="1:9">
      <c r="A47" s="11">
        <v>45</v>
      </c>
      <c r="B47" s="20" t="s">
        <v>136</v>
      </c>
      <c r="C47" s="18" t="s">
        <v>27</v>
      </c>
      <c r="D47" s="18">
        <v>2</v>
      </c>
      <c r="E47" s="12" t="s">
        <v>137</v>
      </c>
      <c r="F47" s="18" t="str">
        <f>_xlfn.DISPIMG("ID_49370B01C0C24A6795173930618A742D",1)</f>
        <v>=DISPIMG("ID_49370B01C0C24A6795173930618A742D",1)</v>
      </c>
      <c r="G47" s="18" t="s">
        <v>13</v>
      </c>
      <c r="H47" s="21"/>
      <c r="I47" s="7" t="s">
        <v>138</v>
      </c>
    </row>
    <row r="48" s="1" customFormat="1" ht="85" customHeight="1" spans="1:9">
      <c r="A48" s="11">
        <v>46</v>
      </c>
      <c r="B48" s="20" t="s">
        <v>139</v>
      </c>
      <c r="C48" s="18" t="s">
        <v>27</v>
      </c>
      <c r="D48" s="18">
        <v>10</v>
      </c>
      <c r="E48" s="12" t="s">
        <v>140</v>
      </c>
      <c r="F48" s="18" t="str">
        <f>_xlfn.DISPIMG("ID_1D9E489D61C845AA99C8E4A59AB3DBA3",1)</f>
        <v>=DISPIMG("ID_1D9E489D61C845AA99C8E4A59AB3DBA3",1)</v>
      </c>
      <c r="G48" s="18" t="s">
        <v>13</v>
      </c>
      <c r="H48" s="21"/>
      <c r="I48" s="7"/>
    </row>
    <row r="49" s="1" customFormat="1" ht="69" customHeight="1" spans="1:9">
      <c r="A49" s="11">
        <v>47</v>
      </c>
      <c r="B49" s="20" t="s">
        <v>141</v>
      </c>
      <c r="C49" s="18" t="s">
        <v>27</v>
      </c>
      <c r="D49" s="18">
        <v>2</v>
      </c>
      <c r="E49" s="12" t="s">
        <v>142</v>
      </c>
      <c r="F49" s="18" t="str">
        <f>_xlfn.DISPIMG("ID_CD613E2130074FFE8927143C021378E2",1)</f>
        <v>=DISPIMG("ID_CD613E2130074FFE8927143C021378E2",1)</v>
      </c>
      <c r="G49" s="18" t="s">
        <v>13</v>
      </c>
      <c r="H49" s="21"/>
      <c r="I49" s="7" t="s">
        <v>143</v>
      </c>
    </row>
    <row r="50" s="1" customFormat="1" ht="86.4" spans="1:9">
      <c r="A50" s="11">
        <v>48</v>
      </c>
      <c r="B50" s="20" t="s">
        <v>144</v>
      </c>
      <c r="C50" s="18" t="s">
        <v>27</v>
      </c>
      <c r="D50" s="18">
        <v>2</v>
      </c>
      <c r="E50" s="12" t="s">
        <v>145</v>
      </c>
      <c r="F50" s="18" t="str">
        <f>_xlfn.DISPIMG("ID_D97042E120E14A0990E37D64D58975D3",1)</f>
        <v>=DISPIMG("ID_D97042E120E14A0990E37D64D58975D3",1)</v>
      </c>
      <c r="G50" s="18" t="s">
        <v>13</v>
      </c>
      <c r="H50" s="21"/>
      <c r="I50" s="7" t="s">
        <v>146</v>
      </c>
    </row>
    <row r="51" s="1" customFormat="1" ht="89" customHeight="1" spans="1:9">
      <c r="A51" s="11">
        <v>49</v>
      </c>
      <c r="B51" s="20" t="s">
        <v>147</v>
      </c>
      <c r="C51" s="18" t="s">
        <v>27</v>
      </c>
      <c r="D51" s="18">
        <v>1</v>
      </c>
      <c r="E51" s="12" t="s">
        <v>148</v>
      </c>
      <c r="F51" s="18" t="str">
        <f>_xlfn.DISPIMG("ID_7B127AF6BB274471AD1365EE1AC3FAE4",1)</f>
        <v>=DISPIMG("ID_7B127AF6BB274471AD1365EE1AC3FAE4",1)</v>
      </c>
      <c r="G51" s="18" t="s">
        <v>13</v>
      </c>
      <c r="H51" s="21"/>
      <c r="I51" s="7"/>
    </row>
    <row r="52" s="1" customFormat="1" ht="87" customHeight="1" spans="1:9">
      <c r="A52" s="11">
        <v>50</v>
      </c>
      <c r="B52" s="20" t="s">
        <v>149</v>
      </c>
      <c r="C52" s="18" t="s">
        <v>27</v>
      </c>
      <c r="D52" s="18">
        <v>1</v>
      </c>
      <c r="E52" s="12" t="s">
        <v>150</v>
      </c>
      <c r="F52" s="18" t="str">
        <f>_xlfn.DISPIMG("ID_87B20F674A644E9597B9FE9D04709335",1)</f>
        <v>=DISPIMG("ID_87B20F674A644E9597B9FE9D04709335",1)</v>
      </c>
      <c r="G52" s="18" t="s">
        <v>13</v>
      </c>
      <c r="H52" s="21"/>
      <c r="I52" s="7" t="s">
        <v>151</v>
      </c>
    </row>
    <row r="53" s="1" customFormat="1" ht="77" customHeight="1" spans="1:9">
      <c r="A53" s="11">
        <v>51</v>
      </c>
      <c r="B53" s="20" t="s">
        <v>152</v>
      </c>
      <c r="C53" s="18" t="s">
        <v>27</v>
      </c>
      <c r="D53" s="18">
        <v>1</v>
      </c>
      <c r="E53" s="12" t="s">
        <v>153</v>
      </c>
      <c r="F53" s="18" t="str">
        <f>_xlfn.DISPIMG("ID_7840ED9AD7F342E69030F4195DE3CC9B",1)</f>
        <v>=DISPIMG("ID_7840ED9AD7F342E69030F4195DE3CC9B",1)</v>
      </c>
      <c r="G53" s="18" t="s">
        <v>13</v>
      </c>
      <c r="H53" s="21"/>
      <c r="I53" s="7" t="s">
        <v>154</v>
      </c>
    </row>
    <row r="54" s="1" customFormat="1" ht="96" customHeight="1" spans="1:9">
      <c r="A54" s="11">
        <v>52</v>
      </c>
      <c r="B54" s="20" t="s">
        <v>155</v>
      </c>
      <c r="C54" s="18" t="s">
        <v>27</v>
      </c>
      <c r="D54" s="18">
        <v>2</v>
      </c>
      <c r="E54" s="12" t="s">
        <v>156</v>
      </c>
      <c r="F54" s="18" t="str">
        <f>_xlfn.DISPIMG("ID_FF4D3E25517346CE9D15084E64C5A664",1)</f>
        <v>=DISPIMG("ID_FF4D3E25517346CE9D15084E64C5A664",1)</v>
      </c>
      <c r="G54" s="18" t="s">
        <v>13</v>
      </c>
      <c r="H54" s="21"/>
      <c r="I54" s="7" t="s">
        <v>157</v>
      </c>
    </row>
    <row r="55" s="1" customFormat="1" ht="72" customHeight="1" spans="1:9">
      <c r="A55" s="11">
        <v>53</v>
      </c>
      <c r="B55" s="20" t="s">
        <v>158</v>
      </c>
      <c r="C55" s="18" t="s">
        <v>27</v>
      </c>
      <c r="D55" s="18">
        <v>2</v>
      </c>
      <c r="E55" s="12" t="s">
        <v>159</v>
      </c>
      <c r="F55" s="18" t="str">
        <f>_xlfn.DISPIMG("ID_D3492D1723564CC08ADE5942750EC1FA",1)</f>
        <v>=DISPIMG("ID_D3492D1723564CC08ADE5942750EC1FA",1)</v>
      </c>
      <c r="G55" s="18" t="s">
        <v>13</v>
      </c>
      <c r="H55" s="21"/>
      <c r="I55" s="7" t="s">
        <v>160</v>
      </c>
    </row>
    <row r="56" s="1" customFormat="1" ht="115.2" spans="1:9">
      <c r="A56" s="11">
        <v>54</v>
      </c>
      <c r="B56" s="20" t="s">
        <v>161</v>
      </c>
      <c r="C56" s="18" t="s">
        <v>27</v>
      </c>
      <c r="D56" s="18">
        <v>2</v>
      </c>
      <c r="E56" s="12" t="s">
        <v>162</v>
      </c>
      <c r="F56" s="18" t="str">
        <f>_xlfn.DISPIMG("ID_F198B3EA25AD4343BB95D384BE44638A",1)</f>
        <v>=DISPIMG("ID_F198B3EA25AD4343BB95D384BE44638A",1)</v>
      </c>
      <c r="G56" s="18" t="s">
        <v>13</v>
      </c>
      <c r="H56" s="21"/>
      <c r="I56" s="7" t="s">
        <v>163</v>
      </c>
    </row>
    <row r="57" s="1" customFormat="1" ht="68" customHeight="1" spans="1:9">
      <c r="A57" s="11">
        <v>55</v>
      </c>
      <c r="B57" s="20" t="s">
        <v>164</v>
      </c>
      <c r="C57" s="18" t="s">
        <v>27</v>
      </c>
      <c r="D57" s="18">
        <v>2</v>
      </c>
      <c r="E57" s="12" t="s">
        <v>165</v>
      </c>
      <c r="F57" s="18" t="str">
        <f>_xlfn.DISPIMG("ID_7BAB2C41520E4933832BCEBA1540CD82",1)</f>
        <v>=DISPIMG("ID_7BAB2C41520E4933832BCEBA1540CD82",1)</v>
      </c>
      <c r="G57" s="18" t="s">
        <v>13</v>
      </c>
      <c r="H57" s="21"/>
      <c r="I57" s="7" t="s">
        <v>166</v>
      </c>
    </row>
    <row r="58" s="1" customFormat="1" ht="89" customHeight="1" spans="1:9">
      <c r="A58" s="11">
        <v>56</v>
      </c>
      <c r="B58" s="20" t="s">
        <v>167</v>
      </c>
      <c r="C58" s="18" t="s">
        <v>27</v>
      </c>
      <c r="D58" s="18">
        <v>4</v>
      </c>
      <c r="E58" s="12" t="s">
        <v>168</v>
      </c>
      <c r="F58" s="18" t="str">
        <f>_xlfn.DISPIMG("ID_FFFE14E325A641618CA1CB380C800BAD",1)</f>
        <v>=DISPIMG("ID_FFFE14E325A641618CA1CB380C800BAD",1)</v>
      </c>
      <c r="G58" s="18" t="s">
        <v>13</v>
      </c>
      <c r="H58" s="21"/>
      <c r="I58" s="7"/>
    </row>
    <row r="59" s="1" customFormat="1" ht="114" customHeight="1" spans="1:9">
      <c r="A59" s="11">
        <v>57</v>
      </c>
      <c r="B59" s="20" t="s">
        <v>169</v>
      </c>
      <c r="C59" s="18" t="s">
        <v>27</v>
      </c>
      <c r="D59" s="18">
        <v>1</v>
      </c>
      <c r="E59" s="12" t="s">
        <v>170</v>
      </c>
      <c r="F59" s="18" t="str">
        <f>_xlfn.DISPIMG("ID_56F07EA6D683477180E0478D09755ED0",1)</f>
        <v>=DISPIMG("ID_56F07EA6D683477180E0478D09755ED0",1)</v>
      </c>
      <c r="G59" s="18" t="s">
        <v>13</v>
      </c>
      <c r="H59" s="21"/>
      <c r="I59" s="7"/>
    </row>
    <row r="60" s="1" customFormat="1" ht="75" customHeight="1" spans="1:9">
      <c r="A60" s="11">
        <v>58</v>
      </c>
      <c r="B60" s="20" t="s">
        <v>171</v>
      </c>
      <c r="C60" s="18" t="s">
        <v>27</v>
      </c>
      <c r="D60" s="18">
        <v>2</v>
      </c>
      <c r="E60" s="12" t="s">
        <v>172</v>
      </c>
      <c r="F60" s="18" t="str">
        <f>_xlfn.DISPIMG("ID_42F153C3B8CC44E082B0A244D3A19402",1)</f>
        <v>=DISPIMG("ID_42F153C3B8CC44E082B0A244D3A19402",1)</v>
      </c>
      <c r="G60" s="18" t="s">
        <v>13</v>
      </c>
      <c r="H60" s="21"/>
      <c r="I60" s="7"/>
    </row>
    <row r="61" s="1" customFormat="1" ht="78" customHeight="1" spans="1:9">
      <c r="A61" s="11">
        <v>59</v>
      </c>
      <c r="B61" s="20" t="s">
        <v>173</v>
      </c>
      <c r="C61" s="18" t="s">
        <v>27</v>
      </c>
      <c r="D61" s="18">
        <v>2</v>
      </c>
      <c r="E61" s="12" t="s">
        <v>174</v>
      </c>
      <c r="F61" s="18" t="str">
        <f>_xlfn.DISPIMG("ID_27B9FF11DE4A44F7A2E3D95D187CC09B",1)</f>
        <v>=DISPIMG("ID_27B9FF11DE4A44F7A2E3D95D187CC09B",1)</v>
      </c>
      <c r="G61" s="18" t="s">
        <v>13</v>
      </c>
      <c r="H61" s="21"/>
      <c r="I61" s="7" t="s">
        <v>175</v>
      </c>
    </row>
    <row r="62" s="1" customFormat="1" ht="129" customHeight="1" spans="1:9">
      <c r="A62" s="11">
        <v>60</v>
      </c>
      <c r="B62" s="20" t="s">
        <v>176</v>
      </c>
      <c r="C62" s="18" t="s">
        <v>27</v>
      </c>
      <c r="D62" s="18">
        <v>3</v>
      </c>
      <c r="E62" s="12" t="s">
        <v>177</v>
      </c>
      <c r="F62" s="18" t="str">
        <f>_xlfn.DISPIMG("ID_D572F1AF4B52479989736B8FB53A56D5",1)</f>
        <v>=DISPIMG("ID_D572F1AF4B52479989736B8FB53A56D5",1)</v>
      </c>
      <c r="G62" s="18" t="s">
        <v>13</v>
      </c>
      <c r="H62" s="21" t="s">
        <v>178</v>
      </c>
      <c r="I62" s="7" t="s">
        <v>179</v>
      </c>
    </row>
    <row r="63" s="1" customFormat="1" ht="77" customHeight="1" spans="1:9">
      <c r="A63" s="11">
        <v>61</v>
      </c>
      <c r="B63" s="20" t="s">
        <v>180</v>
      </c>
      <c r="C63" s="18" t="s">
        <v>181</v>
      </c>
      <c r="D63" s="18">
        <v>1</v>
      </c>
      <c r="E63" s="18" t="s">
        <v>182</v>
      </c>
      <c r="F63" s="18" t="str">
        <f>_xlfn.DISPIMG("ID_0A459749E2634F97AB5CD0629276FD31",1)</f>
        <v>=DISPIMG("ID_0A459749E2634F97AB5CD0629276FD31",1)</v>
      </c>
      <c r="G63" s="18" t="s">
        <v>13</v>
      </c>
      <c r="H63" s="21"/>
      <c r="I63" s="7"/>
    </row>
    <row r="64" s="1" customFormat="1" ht="92" customHeight="1" spans="1:9">
      <c r="A64" s="12">
        <v>62</v>
      </c>
      <c r="B64" s="20" t="s">
        <v>183</v>
      </c>
      <c r="C64" s="18" t="s">
        <v>181</v>
      </c>
      <c r="D64" s="18">
        <v>1</v>
      </c>
      <c r="E64" s="12" t="s">
        <v>184</v>
      </c>
      <c r="F64" s="18" t="str">
        <f>_xlfn.DISPIMG("ID_BCE42A73926B42DFB6223F8793A24DE7",1)</f>
        <v>=DISPIMG("ID_BCE42A73926B42DFB6223F8793A24DE7",1)</v>
      </c>
      <c r="G64" s="18" t="s">
        <v>13</v>
      </c>
      <c r="H64" s="21"/>
      <c r="I64" s="7"/>
    </row>
    <row r="65" s="1" customFormat="1" ht="92" customHeight="1" spans="1:9">
      <c r="A65" s="12">
        <v>63</v>
      </c>
      <c r="B65" s="20" t="s">
        <v>185</v>
      </c>
      <c r="C65" s="18" t="s">
        <v>20</v>
      </c>
      <c r="D65" s="18">
        <v>1</v>
      </c>
      <c r="E65" s="12" t="s">
        <v>186</v>
      </c>
      <c r="F65" s="18" t="str">
        <f>_xlfn.DISPIMG("ID_2FFF388B5FE8445C8A7E988046BBDE12",1)</f>
        <v>=DISPIMG("ID_2FFF388B5FE8445C8A7E988046BBDE12",1)</v>
      </c>
      <c r="G65" s="18" t="s">
        <v>13</v>
      </c>
      <c r="H65" s="21"/>
      <c r="I65" s="7"/>
    </row>
    <row r="66" s="1" customFormat="1" ht="92" customHeight="1" spans="1:9">
      <c r="A66" s="12">
        <v>64</v>
      </c>
      <c r="B66" s="20" t="s">
        <v>187</v>
      </c>
      <c r="C66" s="18" t="s">
        <v>20</v>
      </c>
      <c r="D66" s="18">
        <v>1</v>
      </c>
      <c r="E66" s="12" t="s">
        <v>188</v>
      </c>
      <c r="F66" s="18" t="str">
        <f>_xlfn.DISPIMG("ID_4F438584DFAF479D8E8715984DA1BCC9",1)</f>
        <v>=DISPIMG("ID_4F438584DFAF479D8E8715984DA1BCC9",1)</v>
      </c>
      <c r="G66" s="18" t="s">
        <v>13</v>
      </c>
      <c r="H66" s="21"/>
      <c r="I66" s="7"/>
    </row>
    <row r="67" s="1" customFormat="1" ht="92" customHeight="1" spans="1:9">
      <c r="A67" s="12">
        <v>65</v>
      </c>
      <c r="B67" s="20" t="s">
        <v>189</v>
      </c>
      <c r="C67" s="18" t="s">
        <v>20</v>
      </c>
      <c r="D67" s="18">
        <v>1</v>
      </c>
      <c r="E67" s="12" t="s">
        <v>190</v>
      </c>
      <c r="F67" s="18" t="str">
        <f>_xlfn.DISPIMG("ID_14A73242C89A44FABB30E63D3AEA3000",1)</f>
        <v>=DISPIMG("ID_14A73242C89A44FABB30E63D3AEA3000",1)</v>
      </c>
      <c r="G67" s="18" t="s">
        <v>13</v>
      </c>
      <c r="H67" s="21"/>
      <c r="I67" s="7"/>
    </row>
    <row r="68" s="1" customFormat="1" ht="81.7" spans="1:9">
      <c r="A68" s="12">
        <v>66</v>
      </c>
      <c r="B68" s="38" t="s">
        <v>191</v>
      </c>
      <c r="C68" s="39" t="s">
        <v>27</v>
      </c>
      <c r="D68" s="40">
        <v>1</v>
      </c>
      <c r="E68" s="40" t="s">
        <v>192</v>
      </c>
      <c r="F68" s="41" t="str">
        <f>_xlfn.DISPIMG("ID_3E7242C2A149455394278F2C5E2853FF",1)</f>
        <v>=DISPIMG("ID_3E7242C2A149455394278F2C5E2853FF",1)</v>
      </c>
      <c r="G68" s="18" t="s">
        <v>193</v>
      </c>
      <c r="H68" s="6"/>
      <c r="I68" s="53"/>
    </row>
    <row r="69" s="1" customFormat="1" ht="65.75" spans="1:9">
      <c r="A69" s="12">
        <v>67</v>
      </c>
      <c r="B69" s="38" t="s">
        <v>194</v>
      </c>
      <c r="C69" s="39" t="s">
        <v>27</v>
      </c>
      <c r="D69" s="40">
        <v>1</v>
      </c>
      <c r="E69" s="40" t="s">
        <v>195</v>
      </c>
      <c r="F69" s="41" t="str">
        <f>_xlfn.DISPIMG("ID_9956717BE961451D90C5223A8896E47A",1)</f>
        <v>=DISPIMG("ID_9956717BE961451D90C5223A8896E47A",1)</v>
      </c>
      <c r="G69" s="18" t="s">
        <v>193</v>
      </c>
      <c r="H69" s="6"/>
      <c r="I69" s="53"/>
    </row>
    <row r="70" s="1" customFormat="1" ht="72.45" spans="1:9">
      <c r="A70" s="12">
        <v>68</v>
      </c>
      <c r="B70" s="42" t="s">
        <v>196</v>
      </c>
      <c r="C70" s="43" t="s">
        <v>181</v>
      </c>
      <c r="D70" s="40">
        <v>1</v>
      </c>
      <c r="E70" s="40" t="s">
        <v>197</v>
      </c>
      <c r="F70" s="41" t="str">
        <f>_xlfn.DISPIMG("ID_479868C1DB314DFC97B3A8F65BD762FD",1)</f>
        <v>=DISPIMG("ID_479868C1DB314DFC97B3A8F65BD762FD",1)</v>
      </c>
      <c r="G70" s="18" t="s">
        <v>193</v>
      </c>
      <c r="H70" s="6"/>
      <c r="I70" s="53"/>
    </row>
    <row r="71" s="1" customFormat="1" ht="75.5" spans="1:10">
      <c r="A71" s="12">
        <v>69</v>
      </c>
      <c r="B71" s="42" t="s">
        <v>196</v>
      </c>
      <c r="C71" s="43" t="s">
        <v>181</v>
      </c>
      <c r="D71" s="40">
        <v>1</v>
      </c>
      <c r="E71" s="40" t="s">
        <v>197</v>
      </c>
      <c r="F71" s="41" t="str">
        <f>_xlfn.DISPIMG("ID_691AC360F98F4EB1AC4FAF2682EFA2C3",1)</f>
        <v>=DISPIMG("ID_691AC360F98F4EB1AC4FAF2682EFA2C3",1)</v>
      </c>
      <c r="G71" s="18" t="s">
        <v>193</v>
      </c>
      <c r="H71" s="6"/>
      <c r="I71" s="53"/>
      <c r="J71" s="28"/>
    </row>
    <row r="72" s="1" customFormat="1" ht="72.45" spans="1:10">
      <c r="A72" s="12">
        <v>70</v>
      </c>
      <c r="B72" s="42" t="s">
        <v>196</v>
      </c>
      <c r="C72" s="43" t="s">
        <v>181</v>
      </c>
      <c r="D72" s="40">
        <v>1</v>
      </c>
      <c r="E72" s="40" t="s">
        <v>197</v>
      </c>
      <c r="F72" s="41" t="str">
        <f>_xlfn.DISPIMG("ID_2048F11B5FC246BE9980A1C0BE729E0B",1)</f>
        <v>=DISPIMG("ID_2048F11B5FC246BE9980A1C0BE729E0B",1)</v>
      </c>
      <c r="G72" s="18" t="s">
        <v>193</v>
      </c>
      <c r="H72" s="6"/>
      <c r="I72" s="53"/>
      <c r="J72" s="28"/>
    </row>
    <row r="73" s="1" customFormat="1" ht="71.55" spans="1:10">
      <c r="A73" s="12">
        <v>71</v>
      </c>
      <c r="B73" s="42" t="s">
        <v>196</v>
      </c>
      <c r="C73" s="43" t="s">
        <v>181</v>
      </c>
      <c r="D73" s="40">
        <v>1</v>
      </c>
      <c r="E73" s="40" t="s">
        <v>197</v>
      </c>
      <c r="F73" s="41" t="str">
        <f>_xlfn.DISPIMG("ID_4ED29B96B19347809DE9BEE025478CA5",1)</f>
        <v>=DISPIMG("ID_4ED29B96B19347809DE9BEE025478CA5",1)</v>
      </c>
      <c r="G73" s="18" t="s">
        <v>193</v>
      </c>
      <c r="H73" s="6"/>
      <c r="I73" s="53"/>
      <c r="J73" s="28"/>
    </row>
    <row r="74" s="1" customFormat="1" ht="76.75" spans="1:10">
      <c r="A74" s="12">
        <v>72</v>
      </c>
      <c r="B74" s="42" t="s">
        <v>196</v>
      </c>
      <c r="C74" s="43" t="s">
        <v>181</v>
      </c>
      <c r="D74" s="40">
        <v>1</v>
      </c>
      <c r="E74" s="40" t="s">
        <v>197</v>
      </c>
      <c r="F74" s="41" t="str">
        <f>_xlfn.DISPIMG("ID_91A180ADFA1345C39A8E11F0D757F241",1)</f>
        <v>=DISPIMG("ID_91A180ADFA1345C39A8E11F0D757F241",1)</v>
      </c>
      <c r="G74" s="18" t="s">
        <v>193</v>
      </c>
      <c r="H74" s="6"/>
      <c r="I74" s="53"/>
      <c r="J74" s="28"/>
    </row>
    <row r="75" s="1" customFormat="1" ht="73.65" spans="1:10">
      <c r="A75" s="12">
        <v>73</v>
      </c>
      <c r="B75" s="42" t="s">
        <v>196</v>
      </c>
      <c r="C75" s="43" t="s">
        <v>181</v>
      </c>
      <c r="D75" s="40">
        <v>1</v>
      </c>
      <c r="E75" s="40" t="s">
        <v>197</v>
      </c>
      <c r="F75" s="41" t="str">
        <f>_xlfn.DISPIMG("ID_CEA533272BB3437A987DB7B75C5ACC42",1)</f>
        <v>=DISPIMG("ID_CEA533272BB3437A987DB7B75C5ACC42",1)</v>
      </c>
      <c r="G75" s="18" t="s">
        <v>193</v>
      </c>
      <c r="H75" s="6"/>
      <c r="I75" s="53"/>
      <c r="J75" s="28"/>
    </row>
    <row r="76" s="1" customFormat="1" ht="73.25" spans="1:10">
      <c r="A76" s="12">
        <v>74</v>
      </c>
      <c r="B76" s="42" t="s">
        <v>196</v>
      </c>
      <c r="C76" s="43" t="s">
        <v>181</v>
      </c>
      <c r="D76" s="40">
        <v>1</v>
      </c>
      <c r="E76" s="40" t="s">
        <v>197</v>
      </c>
      <c r="F76" s="41" t="str">
        <f>_xlfn.DISPIMG("ID_A9AD0CF36E6F4EBC917B9010845A5E14",1)</f>
        <v>=DISPIMG("ID_A9AD0CF36E6F4EBC917B9010845A5E14",1)</v>
      </c>
      <c r="G76" s="18" t="s">
        <v>193</v>
      </c>
      <c r="H76" s="6"/>
      <c r="I76" s="53"/>
      <c r="J76" s="28"/>
    </row>
    <row r="77" s="1" customFormat="1" ht="73.9" spans="1:10">
      <c r="A77" s="12">
        <v>75</v>
      </c>
      <c r="B77" s="42" t="s">
        <v>196</v>
      </c>
      <c r="C77" s="43" t="s">
        <v>181</v>
      </c>
      <c r="D77" s="40">
        <v>1</v>
      </c>
      <c r="E77" s="40" t="s">
        <v>197</v>
      </c>
      <c r="F77" s="41" t="str">
        <f>_xlfn.DISPIMG("ID_F4E56933CD6E47BF958E21DB092E63C5",1)</f>
        <v>=DISPIMG("ID_F4E56933CD6E47BF958E21DB092E63C5",1)</v>
      </c>
      <c r="G77" s="18" t="s">
        <v>193</v>
      </c>
      <c r="H77" s="6"/>
      <c r="I77" s="53"/>
      <c r="J77" s="28"/>
    </row>
    <row r="78" s="1" customFormat="1" ht="73.05" spans="1:10">
      <c r="A78" s="12">
        <v>76</v>
      </c>
      <c r="B78" s="42" t="s">
        <v>196</v>
      </c>
      <c r="C78" s="43" t="s">
        <v>181</v>
      </c>
      <c r="D78" s="40">
        <v>1</v>
      </c>
      <c r="E78" s="40" t="s">
        <v>197</v>
      </c>
      <c r="F78" s="41" t="str">
        <f>_xlfn.DISPIMG("ID_757A05746A864C2E9C0D411771433F8F",1)</f>
        <v>=DISPIMG("ID_757A05746A864C2E9C0D411771433F8F",1)</v>
      </c>
      <c r="G78" s="18" t="s">
        <v>193</v>
      </c>
      <c r="H78" s="6"/>
      <c r="I78" s="53"/>
      <c r="J78" s="28"/>
    </row>
    <row r="79" s="1" customFormat="1" ht="78.25" spans="1:10">
      <c r="A79" s="12">
        <v>77</v>
      </c>
      <c r="B79" s="42" t="s">
        <v>196</v>
      </c>
      <c r="C79" s="43" t="s">
        <v>181</v>
      </c>
      <c r="D79" s="40">
        <v>1</v>
      </c>
      <c r="E79" s="40" t="s">
        <v>197</v>
      </c>
      <c r="F79" s="41" t="str">
        <f>_xlfn.DISPIMG("ID_AD3A501EBAB046AEB233767B26C17904",1)</f>
        <v>=DISPIMG("ID_AD3A501EBAB046AEB233767B26C17904",1)</v>
      </c>
      <c r="G79" s="18" t="s">
        <v>193</v>
      </c>
      <c r="H79" s="6"/>
      <c r="I79" s="53"/>
      <c r="J79" s="28"/>
    </row>
    <row r="80" s="1" customFormat="1" ht="73.1" spans="1:10">
      <c r="A80" s="12">
        <v>78</v>
      </c>
      <c r="B80" s="42" t="s">
        <v>196</v>
      </c>
      <c r="C80" s="43" t="s">
        <v>181</v>
      </c>
      <c r="D80" s="40">
        <v>1</v>
      </c>
      <c r="E80" s="40" t="s">
        <v>197</v>
      </c>
      <c r="F80" s="41" t="str">
        <f>_xlfn.DISPIMG("ID_27A0E0316E50416593BFCBC6568C4B71",1)</f>
        <v>=DISPIMG("ID_27A0E0316E50416593BFCBC6568C4B71",1)</v>
      </c>
      <c r="G80" s="18" t="s">
        <v>193</v>
      </c>
      <c r="H80" s="6"/>
      <c r="I80" s="53"/>
      <c r="J80" s="28"/>
    </row>
    <row r="81" s="1" customFormat="1" ht="69.1" spans="1:10">
      <c r="A81" s="12">
        <v>79</v>
      </c>
      <c r="B81" s="42" t="s">
        <v>196</v>
      </c>
      <c r="C81" s="43" t="s">
        <v>181</v>
      </c>
      <c r="D81" s="40">
        <v>1</v>
      </c>
      <c r="E81" s="40" t="s">
        <v>197</v>
      </c>
      <c r="F81" s="41" t="str">
        <f>_xlfn.DISPIMG("ID_21326553DF224596B2073BAAB01FE741",1)</f>
        <v>=DISPIMG("ID_21326553DF224596B2073BAAB01FE741",1)</v>
      </c>
      <c r="G81" s="18" t="s">
        <v>193</v>
      </c>
      <c r="H81" s="6"/>
      <c r="I81" s="53"/>
      <c r="J81" s="28"/>
    </row>
    <row r="82" s="1" customFormat="1" ht="80" customHeight="1" spans="1:10">
      <c r="A82" s="12">
        <v>80</v>
      </c>
      <c r="B82" s="40" t="s">
        <v>198</v>
      </c>
      <c r="C82" s="40" t="s">
        <v>199</v>
      </c>
      <c r="D82" s="43">
        <v>1</v>
      </c>
      <c r="E82" s="44" t="s">
        <v>200</v>
      </c>
      <c r="F82" s="41" t="str">
        <f>_xlfn.DISPIMG("ID_B8C59E518F95401A82AAFFA40FE566B8",1)</f>
        <v>=DISPIMG("ID_B8C59E518F95401A82AAFFA40FE566B8",1)</v>
      </c>
      <c r="G82" s="18" t="s">
        <v>193</v>
      </c>
      <c r="H82" s="6"/>
      <c r="I82" s="53"/>
      <c r="J82" s="28"/>
    </row>
    <row r="83" s="1" customFormat="1" ht="54" customHeight="1" spans="1:10">
      <c r="A83" s="12">
        <v>81</v>
      </c>
      <c r="B83" s="40" t="s">
        <v>201</v>
      </c>
      <c r="C83" s="43" t="s">
        <v>202</v>
      </c>
      <c r="D83" s="43">
        <v>1</v>
      </c>
      <c r="E83" s="40" t="s">
        <v>203</v>
      </c>
      <c r="F83" s="41" t="str">
        <f>_xlfn.DISPIMG("ID_AB41D5E29F954B11A848DD253F9E8D2D",1)</f>
        <v>=DISPIMG("ID_AB41D5E29F954B11A848DD253F9E8D2D",1)</v>
      </c>
      <c r="G83" s="18" t="s">
        <v>193</v>
      </c>
      <c r="H83" s="6"/>
      <c r="I83" s="53"/>
      <c r="J83" s="28"/>
    </row>
    <row r="84" s="1" customFormat="1" ht="70.45" spans="1:10">
      <c r="A84" s="12">
        <v>82</v>
      </c>
      <c r="B84" s="40" t="s">
        <v>204</v>
      </c>
      <c r="C84" s="40"/>
      <c r="D84" s="40">
        <v>1</v>
      </c>
      <c r="E84" s="40"/>
      <c r="F84" s="40" t="str">
        <f>_xlfn.DISPIMG("ID_3494D087A2124126A183D48881481E69",1)</f>
        <v>=DISPIMG("ID_3494D087A2124126A183D48881481E69",1)</v>
      </c>
      <c r="G84" s="40" t="s">
        <v>205</v>
      </c>
      <c r="H84" s="18" t="s">
        <v>206</v>
      </c>
      <c r="I84" s="18" t="s">
        <v>205</v>
      </c>
      <c r="J84" s="28"/>
    </row>
    <row r="85" s="1" customFormat="1" ht="75.75" spans="1:10">
      <c r="A85" s="12">
        <v>83</v>
      </c>
      <c r="B85" s="40" t="s">
        <v>207</v>
      </c>
      <c r="C85" s="40" t="s">
        <v>181</v>
      </c>
      <c r="D85" s="40">
        <v>1</v>
      </c>
      <c r="E85" s="40"/>
      <c r="F85" s="40" t="str">
        <f>_xlfn.DISPIMG("ID_67150685CA364F149E46C992EA1BE121",1)</f>
        <v>=DISPIMG("ID_67150685CA364F149E46C992EA1BE121",1)</v>
      </c>
      <c r="G85" s="40" t="s">
        <v>205</v>
      </c>
      <c r="H85" s="18" t="s">
        <v>206</v>
      </c>
      <c r="I85" s="18" t="s">
        <v>205</v>
      </c>
      <c r="J85" s="28"/>
    </row>
    <row r="86" s="1" customFormat="1" ht="63.35" spans="1:10">
      <c r="A86" s="12">
        <v>84</v>
      </c>
      <c r="B86" s="40" t="s">
        <v>207</v>
      </c>
      <c r="C86" s="40" t="s">
        <v>181</v>
      </c>
      <c r="D86" s="40">
        <v>1</v>
      </c>
      <c r="E86" s="40"/>
      <c r="F86" s="40" t="str">
        <f>_xlfn.DISPIMG("ID_482E8B680E3947DCB0C022C80ADEA1DA",1)</f>
        <v>=DISPIMG("ID_482E8B680E3947DCB0C022C80ADEA1DA",1)</v>
      </c>
      <c r="G86" s="40" t="s">
        <v>205</v>
      </c>
      <c r="H86" s="18" t="s">
        <v>206</v>
      </c>
      <c r="I86" s="18" t="s">
        <v>205</v>
      </c>
      <c r="J86" s="28"/>
    </row>
    <row r="87" s="1" customFormat="1" ht="60.3" spans="1:10">
      <c r="A87" s="12">
        <v>85</v>
      </c>
      <c r="B87" s="40" t="s">
        <v>207</v>
      </c>
      <c r="C87" s="40" t="s">
        <v>181</v>
      </c>
      <c r="D87" s="40">
        <v>1</v>
      </c>
      <c r="E87" s="40"/>
      <c r="F87" s="40" t="str">
        <f>_xlfn.DISPIMG("ID_9A6ED06265374CA7B22F294DAC8EA326",1)</f>
        <v>=DISPIMG("ID_9A6ED06265374CA7B22F294DAC8EA326",1)</v>
      </c>
      <c r="G87" s="40" t="s">
        <v>205</v>
      </c>
      <c r="H87" s="18" t="s">
        <v>206</v>
      </c>
      <c r="I87" s="18" t="s">
        <v>205</v>
      </c>
      <c r="J87" s="28"/>
    </row>
    <row r="88" s="1" customFormat="1" ht="82.8" spans="1:10">
      <c r="A88" s="12">
        <v>86</v>
      </c>
      <c r="B88" s="40" t="s">
        <v>207</v>
      </c>
      <c r="C88" s="40" t="s">
        <v>181</v>
      </c>
      <c r="D88" s="40">
        <v>1</v>
      </c>
      <c r="E88" s="40"/>
      <c r="F88" s="40" t="str">
        <f>_xlfn.DISPIMG("ID_51834E8D5BC24E3F8BBACBD322831E29",1)</f>
        <v>=DISPIMG("ID_51834E8D5BC24E3F8BBACBD322831E29",1)</v>
      </c>
      <c r="G88" s="40" t="s">
        <v>205</v>
      </c>
      <c r="H88" s="18" t="s">
        <v>206</v>
      </c>
      <c r="I88" s="18" t="s">
        <v>205</v>
      </c>
      <c r="J88" s="28"/>
    </row>
    <row r="89" s="1" customFormat="1" ht="58.9" spans="1:10">
      <c r="A89" s="12">
        <v>87</v>
      </c>
      <c r="B89" s="40" t="s">
        <v>208</v>
      </c>
      <c r="C89" s="40" t="s">
        <v>181</v>
      </c>
      <c r="D89" s="40">
        <v>1</v>
      </c>
      <c r="E89" s="40"/>
      <c r="F89" s="40" t="str">
        <f>_xlfn.DISPIMG("ID_05FF6B81A3EB474D8DCE6764CDD838AD",1)</f>
        <v>=DISPIMG("ID_05FF6B81A3EB474D8DCE6764CDD838AD",1)</v>
      </c>
      <c r="G89" s="40" t="s">
        <v>205</v>
      </c>
      <c r="H89" s="18" t="s">
        <v>206</v>
      </c>
      <c r="I89" s="18" t="s">
        <v>205</v>
      </c>
      <c r="J89" s="28"/>
    </row>
    <row r="90" s="1" customFormat="1" ht="58.8" spans="1:10">
      <c r="A90" s="12">
        <v>88</v>
      </c>
      <c r="B90" s="40" t="s">
        <v>209</v>
      </c>
      <c r="C90" s="40" t="s">
        <v>181</v>
      </c>
      <c r="D90" s="40">
        <v>1</v>
      </c>
      <c r="E90" s="40"/>
      <c r="F90" s="40" t="str">
        <f>_xlfn.DISPIMG("ID_FBF67ADAC73A4858B8CA60AE9AA563AF",1)</f>
        <v>=DISPIMG("ID_FBF67ADAC73A4858B8CA60AE9AA563AF",1)</v>
      </c>
      <c r="G90" s="40" t="s">
        <v>205</v>
      </c>
      <c r="H90" s="18" t="s">
        <v>206</v>
      </c>
      <c r="I90" s="18" t="s">
        <v>205</v>
      </c>
      <c r="J90" s="28"/>
    </row>
    <row r="91" s="1" customFormat="1" ht="71.45" spans="1:10">
      <c r="A91" s="12">
        <v>89</v>
      </c>
      <c r="B91" s="45" t="s">
        <v>210</v>
      </c>
      <c r="C91" s="45" t="s">
        <v>15</v>
      </c>
      <c r="D91" s="45">
        <v>1</v>
      </c>
      <c r="E91" s="45" t="s">
        <v>211</v>
      </c>
      <c r="F91" s="46" t="str">
        <f>_xlfn.DISPIMG("ID_97E0A6C258F64FB68E1E0D7586E89905",1)</f>
        <v>=DISPIMG("ID_97E0A6C258F64FB68E1E0D7586E89905",1)</v>
      </c>
      <c r="G91" s="18" t="s">
        <v>212</v>
      </c>
      <c r="H91" s="6"/>
      <c r="I91" s="53"/>
      <c r="J91" s="28"/>
    </row>
    <row r="92" s="1" customFormat="1" ht="70.55" spans="1:10">
      <c r="A92" s="12">
        <v>90</v>
      </c>
      <c r="B92" s="43" t="s">
        <v>213</v>
      </c>
      <c r="C92" s="43" t="s">
        <v>181</v>
      </c>
      <c r="D92" s="43">
        <v>1</v>
      </c>
      <c r="E92" s="40" t="s">
        <v>214</v>
      </c>
      <c r="F92" s="47" t="str">
        <f>_xlfn.DISPIMG("ID_F9255621375D4BED99BA7AB1C231F1F5",1)</f>
        <v>=DISPIMG("ID_F9255621375D4BED99BA7AB1C231F1F5",1)</v>
      </c>
      <c r="G92" s="18" t="s">
        <v>212</v>
      </c>
      <c r="H92" s="6"/>
      <c r="I92" s="53"/>
      <c r="J92" s="28"/>
    </row>
    <row r="93" s="1" customFormat="1" ht="87.05" spans="1:10">
      <c r="A93" s="12">
        <v>91</v>
      </c>
      <c r="B93" s="48" t="s">
        <v>215</v>
      </c>
      <c r="C93" s="43" t="s">
        <v>216</v>
      </c>
      <c r="D93" s="43">
        <v>1</v>
      </c>
      <c r="E93" s="40" t="s">
        <v>217</v>
      </c>
      <c r="F93" s="41" t="str">
        <f>_xlfn.DISPIMG("ID_856D156FA8DC46B385DFCE93451077F2",1)</f>
        <v>=DISPIMG("ID_856D156FA8DC46B385DFCE93451077F2",1)</v>
      </c>
      <c r="G93" s="18" t="s">
        <v>212</v>
      </c>
      <c r="H93" s="6"/>
      <c r="I93" s="53"/>
      <c r="J93" s="28"/>
    </row>
    <row r="94" s="1" customFormat="1" ht="72" spans="1:10">
      <c r="A94" s="12">
        <v>92</v>
      </c>
      <c r="B94" s="48" t="s">
        <v>218</v>
      </c>
      <c r="C94" s="43" t="s">
        <v>219</v>
      </c>
      <c r="D94" s="43">
        <v>1</v>
      </c>
      <c r="E94" s="40" t="s">
        <v>220</v>
      </c>
      <c r="F94" s="41" t="str">
        <f>_xlfn.DISPIMG("ID_7248781E87E24FB086C3FDC99EE553B4",1)</f>
        <v>=DISPIMG("ID_7248781E87E24FB086C3FDC99EE553B4",1)</v>
      </c>
      <c r="G94" s="18" t="s">
        <v>212</v>
      </c>
      <c r="H94" s="6"/>
      <c r="I94" s="53"/>
      <c r="J94" s="28"/>
    </row>
    <row r="95" s="1" customFormat="1" ht="67.8" spans="1:10">
      <c r="A95" s="12">
        <v>93</v>
      </c>
      <c r="B95" s="49" t="s">
        <v>221</v>
      </c>
      <c r="C95" s="43" t="s">
        <v>27</v>
      </c>
      <c r="D95" s="43">
        <v>1</v>
      </c>
      <c r="E95" s="49" t="s">
        <v>222</v>
      </c>
      <c r="F95" s="41" t="str">
        <f>_xlfn.DISPIMG("ID_5FC696A39FDF4816B5E30BF30A8FD697",1)</f>
        <v>=DISPIMG("ID_5FC696A39FDF4816B5E30BF30A8FD697",1)</v>
      </c>
      <c r="G95" s="18" t="s">
        <v>212</v>
      </c>
      <c r="H95" s="6"/>
      <c r="I95" s="53"/>
      <c r="J95" s="28"/>
    </row>
    <row r="96" s="1" customFormat="1" ht="77.2" spans="1:10">
      <c r="A96" s="12">
        <v>94</v>
      </c>
      <c r="B96" s="49" t="s">
        <v>221</v>
      </c>
      <c r="C96" s="43" t="s">
        <v>27</v>
      </c>
      <c r="D96" s="43">
        <v>1</v>
      </c>
      <c r="E96" s="49" t="s">
        <v>223</v>
      </c>
      <c r="F96" s="41" t="str">
        <f>_xlfn.DISPIMG("ID_5454B39990D340F68F3FEB1272347D51",1)</f>
        <v>=DISPIMG("ID_5454B39990D340F68F3FEB1272347D51",1)</v>
      </c>
      <c r="G96" s="18" t="s">
        <v>212</v>
      </c>
      <c r="H96" s="6"/>
      <c r="I96" s="53"/>
      <c r="J96" s="28"/>
    </row>
    <row r="97" s="1" customFormat="1" ht="67" customHeight="1" spans="1:10">
      <c r="A97" s="12">
        <v>95</v>
      </c>
      <c r="B97" s="49" t="s">
        <v>221</v>
      </c>
      <c r="C97" s="43" t="s">
        <v>27</v>
      </c>
      <c r="D97" s="43">
        <v>1</v>
      </c>
      <c r="E97" s="49" t="s">
        <v>224</v>
      </c>
      <c r="F97" s="41" t="str">
        <f>_xlfn.DISPIMG("ID_F891086092E644A1AC925D4C1CFA9842",1)</f>
        <v>=DISPIMG("ID_F891086092E644A1AC925D4C1CFA9842",1)</v>
      </c>
      <c r="G97" s="18" t="s">
        <v>212</v>
      </c>
      <c r="H97" s="6"/>
      <c r="I97" s="53"/>
      <c r="J97" s="28"/>
    </row>
    <row r="98" s="1" customFormat="1" ht="89.95" spans="1:10">
      <c r="A98" s="12">
        <v>96</v>
      </c>
      <c r="B98" s="49" t="s">
        <v>225</v>
      </c>
      <c r="C98" s="50" t="s">
        <v>27</v>
      </c>
      <c r="D98" s="43">
        <v>1</v>
      </c>
      <c r="E98" s="49" t="s">
        <v>226</v>
      </c>
      <c r="F98" s="41" t="str">
        <f>_xlfn.DISPIMG("ID_AD183FBD532D40B89CED0CD4B40158BE",1)</f>
        <v>=DISPIMG("ID_AD183FBD532D40B89CED0CD4B40158BE",1)</v>
      </c>
      <c r="G98" s="18" t="s">
        <v>212</v>
      </c>
      <c r="H98" s="6"/>
      <c r="I98" s="53"/>
      <c r="J98" s="28"/>
    </row>
    <row r="99" s="1" customFormat="1" ht="75.3" spans="1:10">
      <c r="A99" s="12">
        <v>97</v>
      </c>
      <c r="B99" s="49" t="s">
        <v>227</v>
      </c>
      <c r="C99" s="43" t="s">
        <v>27</v>
      </c>
      <c r="D99" s="51">
        <v>1</v>
      </c>
      <c r="E99" s="49" t="s">
        <v>228</v>
      </c>
      <c r="F99" s="52" t="str">
        <f>_xlfn.DISPIMG("ID_B2A1FC8E8CDB4CA39FC469807F37A1CA",1)</f>
        <v>=DISPIMG("ID_B2A1FC8E8CDB4CA39FC469807F37A1CA",1)</v>
      </c>
      <c r="G99" s="18" t="s">
        <v>212</v>
      </c>
      <c r="H99" s="6"/>
      <c r="I99" s="53"/>
      <c r="J99" s="28"/>
    </row>
    <row r="100" s="1" customFormat="1" ht="79.8" spans="1:10">
      <c r="A100" s="12">
        <v>98</v>
      </c>
      <c r="B100" s="49" t="s">
        <v>229</v>
      </c>
      <c r="C100" s="39" t="s">
        <v>181</v>
      </c>
      <c r="D100" s="43">
        <v>1</v>
      </c>
      <c r="E100" s="49" t="s">
        <v>230</v>
      </c>
      <c r="F100" s="41" t="str">
        <f>_xlfn.DISPIMG("ID_045F3E12D5E346F8BAD2DCBB6538DE5F",1)</f>
        <v>=DISPIMG("ID_045F3E12D5E346F8BAD2DCBB6538DE5F",1)</v>
      </c>
      <c r="G100" s="18" t="s">
        <v>212</v>
      </c>
      <c r="H100" s="6"/>
      <c r="I100" s="53"/>
      <c r="J100" s="28"/>
    </row>
    <row r="101" s="1" customFormat="1" ht="74.7" spans="1:10">
      <c r="A101" s="12">
        <v>99</v>
      </c>
      <c r="B101" s="49" t="s">
        <v>231</v>
      </c>
      <c r="C101" s="39"/>
      <c r="D101" s="43">
        <v>4</v>
      </c>
      <c r="E101" s="43" t="s">
        <v>232</v>
      </c>
      <c r="F101" s="41" t="str">
        <f>_xlfn.DISPIMG("ID_67D06271DDCE42DD9C048DF01E978B15",1)</f>
        <v>=DISPIMG("ID_67D06271DDCE42DD9C048DF01E978B15",1)</v>
      </c>
      <c r="G101" s="18" t="s">
        <v>233</v>
      </c>
      <c r="H101" s="6"/>
      <c r="I101" s="53"/>
      <c r="J101" s="28"/>
    </row>
    <row r="102" s="1" customFormat="1" spans="1:10">
      <c r="A102" s="4"/>
      <c r="B102" s="5"/>
      <c r="C102" s="4"/>
      <c r="D102" s="4"/>
      <c r="E102" s="4"/>
      <c r="F102" s="4"/>
      <c r="G102" s="4"/>
      <c r="H102" s="6"/>
      <c r="I102" s="53"/>
      <c r="J102" s="28"/>
    </row>
    <row r="103" s="1" customFormat="1" spans="1:10">
      <c r="A103" s="4"/>
      <c r="B103" s="5"/>
      <c r="C103" s="4"/>
      <c r="D103" s="4"/>
      <c r="E103" s="4"/>
      <c r="F103" s="4"/>
      <c r="G103" s="4"/>
      <c r="H103" s="6"/>
      <c r="I103" s="53"/>
      <c r="J103" s="28"/>
    </row>
    <row r="104" s="1" customFormat="1" spans="1:10">
      <c r="A104" s="4"/>
      <c r="B104" s="5"/>
      <c r="C104" s="4"/>
      <c r="D104" s="4"/>
      <c r="E104" s="4"/>
      <c r="F104" s="4"/>
      <c r="G104" s="4"/>
      <c r="H104" s="6"/>
      <c r="I104" s="53"/>
      <c r="J104" s="28"/>
    </row>
    <row r="105" s="1" customFormat="1" spans="1:10">
      <c r="A105" s="4"/>
      <c r="B105" s="5"/>
      <c r="C105" s="4"/>
      <c r="D105" s="4"/>
      <c r="E105" s="4"/>
      <c r="F105" s="4"/>
      <c r="G105" s="4"/>
      <c r="H105" s="6"/>
      <c r="I105" s="53"/>
      <c r="J105" s="28"/>
    </row>
    <row r="106" s="1" customFormat="1" spans="1:10">
      <c r="A106" s="4"/>
      <c r="B106" s="5"/>
      <c r="C106" s="4"/>
      <c r="D106" s="4"/>
      <c r="E106" s="4"/>
      <c r="F106" s="4"/>
      <c r="G106" s="4"/>
      <c r="H106" s="6"/>
      <c r="I106" s="53"/>
      <c r="J106" s="28"/>
    </row>
    <row r="107" s="1" customFormat="1" spans="1:10">
      <c r="A107" s="4"/>
      <c r="B107" s="5"/>
      <c r="C107" s="4"/>
      <c r="D107" s="4"/>
      <c r="E107" s="4"/>
      <c r="F107" s="4"/>
      <c r="G107" s="4"/>
      <c r="H107" s="6"/>
      <c r="I107" s="53"/>
      <c r="J107" s="28"/>
    </row>
    <row r="108" s="1" customFormat="1" spans="1:10">
      <c r="A108" s="4"/>
      <c r="B108" s="5"/>
      <c r="C108" s="4"/>
      <c r="D108" s="4"/>
      <c r="E108" s="4"/>
      <c r="F108" s="4"/>
      <c r="G108" s="4"/>
      <c r="H108" s="6"/>
      <c r="I108" s="53"/>
      <c r="J108" s="28"/>
    </row>
    <row r="109" s="1" customFormat="1" spans="1:10">
      <c r="A109" s="4"/>
      <c r="B109" s="5"/>
      <c r="C109" s="4"/>
      <c r="D109" s="4"/>
      <c r="E109" s="4"/>
      <c r="F109" s="4"/>
      <c r="G109" s="4"/>
      <c r="H109" s="6"/>
      <c r="I109" s="53"/>
      <c r="J109" s="28"/>
    </row>
    <row r="110" s="1" customFormat="1" spans="1:10">
      <c r="A110" s="4"/>
      <c r="B110" s="5"/>
      <c r="C110" s="4"/>
      <c r="D110" s="4"/>
      <c r="E110" s="4"/>
      <c r="F110" s="4"/>
      <c r="G110" s="4"/>
      <c r="H110" s="6"/>
      <c r="I110" s="53"/>
      <c r="J110" s="28"/>
    </row>
    <row r="111" s="1" customFormat="1" spans="1:10">
      <c r="A111" s="4"/>
      <c r="B111" s="5"/>
      <c r="C111" s="4"/>
      <c r="D111" s="4"/>
      <c r="E111" s="4"/>
      <c r="F111" s="4"/>
      <c r="G111" s="4"/>
      <c r="H111" s="6"/>
      <c r="I111" s="53"/>
      <c r="J111" s="28"/>
    </row>
    <row r="112" s="1" customFormat="1" spans="1:10">
      <c r="A112" s="4"/>
      <c r="B112" s="5"/>
      <c r="C112" s="4"/>
      <c r="D112" s="4"/>
      <c r="E112" s="4"/>
      <c r="F112" s="4"/>
      <c r="G112" s="4"/>
      <c r="H112" s="6"/>
      <c r="I112" s="53"/>
      <c r="J112" s="28"/>
    </row>
    <row r="113" s="1" customFormat="1" spans="1:10">
      <c r="A113" s="4"/>
      <c r="B113" s="5"/>
      <c r="C113" s="4"/>
      <c r="D113" s="4"/>
      <c r="E113" s="4"/>
      <c r="F113" s="4"/>
      <c r="G113" s="4"/>
      <c r="H113" s="6"/>
      <c r="I113" s="53"/>
      <c r="J113" s="28"/>
    </row>
    <row r="114" s="1" customFormat="1" spans="1:10">
      <c r="A114" s="4"/>
      <c r="B114" s="5"/>
      <c r="C114" s="4"/>
      <c r="D114" s="4"/>
      <c r="E114" s="4"/>
      <c r="F114" s="4"/>
      <c r="G114" s="4"/>
      <c r="H114" s="6"/>
      <c r="I114" s="53"/>
      <c r="J114" s="28"/>
    </row>
    <row r="115" s="1" customFormat="1" spans="1:10">
      <c r="A115" s="4"/>
      <c r="B115" s="5"/>
      <c r="C115" s="4"/>
      <c r="D115" s="4"/>
      <c r="E115" s="4"/>
      <c r="F115" s="4"/>
      <c r="G115" s="4"/>
      <c r="H115" s="6"/>
      <c r="I115" s="53"/>
      <c r="J115" s="28"/>
    </row>
    <row r="116" s="1" customFormat="1" spans="1:10">
      <c r="A116" s="4"/>
      <c r="B116" s="5"/>
      <c r="C116" s="4"/>
      <c r="D116" s="4"/>
      <c r="E116" s="4"/>
      <c r="F116" s="4"/>
      <c r="G116" s="4"/>
      <c r="H116" s="6"/>
      <c r="I116" s="53"/>
      <c r="J116" s="28"/>
    </row>
    <row r="1048556" s="1" customFormat="1" spans="1:9">
      <c r="A1048556" s="4"/>
      <c r="B1048556" s="4"/>
      <c r="C1048556" s="3"/>
      <c r="D1048556" s="3"/>
      <c r="E1048556" s="4"/>
      <c r="F1048556" s="4"/>
      <c r="G1048556" s="3"/>
      <c r="H1048556" s="54"/>
      <c r="I1048556" s="3"/>
    </row>
    <row r="1048557" s="1" customFormat="1" spans="1:9">
      <c r="A1048557" s="4"/>
      <c r="B1048557" s="4"/>
      <c r="C1048557" s="3"/>
      <c r="D1048557" s="3"/>
      <c r="E1048557" s="4"/>
      <c r="F1048557" s="4"/>
      <c r="G1048557" s="3"/>
      <c r="H1048557" s="54"/>
      <c r="I1048557" s="3"/>
    </row>
    <row r="1048558" s="1" customFormat="1" spans="1:9">
      <c r="A1048558" s="4"/>
      <c r="B1048558" s="4"/>
      <c r="C1048558" s="3"/>
      <c r="D1048558" s="3"/>
      <c r="E1048558" s="4"/>
      <c r="F1048558" s="4"/>
      <c r="G1048558" s="3"/>
      <c r="H1048558" s="54"/>
      <c r="I1048558" s="3"/>
    </row>
    <row r="1048559" s="1" customFormat="1" spans="1:9">
      <c r="A1048559" s="4"/>
      <c r="B1048559" s="4"/>
      <c r="C1048559" s="3"/>
      <c r="D1048559" s="3"/>
      <c r="E1048559" s="4"/>
      <c r="F1048559" s="4"/>
      <c r="G1048559" s="3"/>
      <c r="H1048559" s="54"/>
      <c r="I1048559" s="3"/>
    </row>
    <row r="1048560" s="1" customFormat="1" spans="1:9">
      <c r="A1048560" s="4"/>
      <c r="B1048560" s="4"/>
      <c r="C1048560" s="3"/>
      <c r="D1048560" s="3"/>
      <c r="E1048560" s="4"/>
      <c r="F1048560" s="4"/>
      <c r="G1048560" s="3"/>
      <c r="H1048560" s="54"/>
      <c r="I1048560" s="3"/>
    </row>
    <row r="1048561" s="1" customFormat="1" spans="1:9">
      <c r="A1048561" s="4"/>
      <c r="B1048561" s="4"/>
      <c r="C1048561" s="3"/>
      <c r="D1048561" s="3"/>
      <c r="E1048561" s="4"/>
      <c r="F1048561" s="4"/>
      <c r="G1048561" s="3"/>
      <c r="H1048561" s="54"/>
      <c r="I1048561" s="3"/>
    </row>
    <row r="1048562" s="1" customFormat="1" spans="1:9">
      <c r="A1048562" s="4"/>
      <c r="B1048562" s="4"/>
      <c r="C1048562" s="3"/>
      <c r="D1048562" s="3"/>
      <c r="E1048562" s="4"/>
      <c r="F1048562" s="4"/>
      <c r="G1048562" s="3"/>
      <c r="H1048562" s="54"/>
      <c r="I1048562" s="3"/>
    </row>
    <row r="1048563" s="1" customFormat="1" spans="1:9">
      <c r="A1048563" s="4"/>
      <c r="B1048563" s="4"/>
      <c r="C1048563" s="3"/>
      <c r="D1048563" s="3"/>
      <c r="E1048563" s="4"/>
      <c r="F1048563" s="4"/>
      <c r="G1048563" s="3"/>
      <c r="H1048563" s="54"/>
      <c r="I1048563" s="3"/>
    </row>
    <row r="1048564" s="1" customFormat="1" spans="1:9">
      <c r="A1048564" s="4"/>
      <c r="B1048564" s="4"/>
      <c r="C1048564" s="3"/>
      <c r="D1048564" s="3"/>
      <c r="E1048564" s="4"/>
      <c r="F1048564" s="4"/>
      <c r="G1048564" s="3"/>
      <c r="H1048564" s="54"/>
      <c r="I1048564" s="3"/>
    </row>
    <row r="1048565" s="1" customFormat="1" spans="1:9">
      <c r="A1048565" s="4"/>
      <c r="B1048565" s="4"/>
      <c r="C1048565" s="3"/>
      <c r="D1048565" s="3"/>
      <c r="E1048565" s="4"/>
      <c r="F1048565" s="4"/>
      <c r="G1048565" s="3"/>
      <c r="H1048565" s="54"/>
      <c r="I1048565" s="3"/>
    </row>
    <row r="1048566" s="1" customFormat="1" spans="1:9">
      <c r="A1048566" s="4"/>
      <c r="B1048566" s="4"/>
      <c r="C1048566" s="3"/>
      <c r="D1048566" s="3"/>
      <c r="E1048566" s="4"/>
      <c r="F1048566" s="4"/>
      <c r="G1048566" s="3"/>
      <c r="H1048566" s="54"/>
      <c r="I1048566" s="3"/>
    </row>
    <row r="1048567" s="1" customFormat="1" spans="1:9">
      <c r="A1048567" s="4"/>
      <c r="B1048567" s="4"/>
      <c r="C1048567" s="3"/>
      <c r="D1048567" s="3"/>
      <c r="E1048567" s="4"/>
      <c r="F1048567" s="4"/>
      <c r="G1048567" s="3"/>
      <c r="H1048567" s="54"/>
      <c r="I1048567" s="3"/>
    </row>
    <row r="1048568" s="1" customFormat="1" spans="1:9">
      <c r="A1048568" s="4"/>
      <c r="B1048568" s="4"/>
      <c r="C1048568" s="3"/>
      <c r="D1048568" s="3"/>
      <c r="E1048568" s="4"/>
      <c r="F1048568" s="4"/>
      <c r="G1048568" s="3"/>
      <c r="H1048568" s="54"/>
      <c r="I1048568" s="3"/>
    </row>
    <row r="1048569" s="1" customFormat="1" spans="1:9">
      <c r="A1048569" s="4"/>
      <c r="B1048569" s="4"/>
      <c r="C1048569" s="3"/>
      <c r="D1048569" s="3"/>
      <c r="E1048569" s="4"/>
      <c r="F1048569" s="4"/>
      <c r="G1048569" s="3"/>
      <c r="H1048569" s="54"/>
      <c r="I1048569" s="3"/>
    </row>
    <row r="1048570" s="1" customFormat="1" spans="1:9">
      <c r="A1048570" s="4"/>
      <c r="B1048570" s="4"/>
      <c r="C1048570" s="3"/>
      <c r="D1048570" s="3"/>
      <c r="E1048570" s="4"/>
      <c r="F1048570" s="4"/>
      <c r="G1048570" s="3"/>
      <c r="H1048570" s="54"/>
      <c r="I1048570" s="3"/>
    </row>
    <row r="1048571" s="1" customFormat="1" spans="1:9">
      <c r="A1048571" s="4"/>
      <c r="B1048571" s="4"/>
      <c r="C1048571" s="3"/>
      <c r="D1048571" s="3"/>
      <c r="E1048571" s="4"/>
      <c r="F1048571" s="4"/>
      <c r="G1048571" s="3"/>
      <c r="H1048571" s="54"/>
      <c r="I1048571" s="3"/>
    </row>
    <row r="1048572" s="1" customFormat="1" spans="1:9">
      <c r="A1048572" s="4"/>
      <c r="B1048572" s="4"/>
      <c r="C1048572" s="3"/>
      <c r="D1048572" s="3"/>
      <c r="E1048572" s="4"/>
      <c r="F1048572" s="4"/>
      <c r="G1048572" s="3"/>
      <c r="H1048572" s="54"/>
      <c r="I1048572" s="3"/>
    </row>
    <row r="1048573" s="1" customFormat="1" spans="1:9">
      <c r="A1048573" s="4"/>
      <c r="B1048573" s="4"/>
      <c r="C1048573" s="3"/>
      <c r="D1048573" s="3"/>
      <c r="E1048573" s="4"/>
      <c r="F1048573" s="4"/>
      <c r="G1048573" s="3"/>
      <c r="H1048573" s="54"/>
      <c r="I1048573" s="3"/>
    </row>
    <row r="1048574" s="1" customFormat="1" spans="1:9">
      <c r="A1048574" s="4"/>
      <c r="B1048574" s="4"/>
      <c r="C1048574" s="3"/>
      <c r="D1048574" s="3"/>
      <c r="E1048574" s="4"/>
      <c r="F1048574" s="4"/>
      <c r="G1048574" s="3"/>
      <c r="H1048574" s="54"/>
      <c r="I1048574" s="3"/>
    </row>
    <row r="1048575" s="1" customFormat="1" spans="1:9">
      <c r="A1048575" s="4"/>
      <c r="B1048575" s="4"/>
      <c r="C1048575" s="3"/>
      <c r="D1048575" s="3"/>
      <c r="E1048575" s="4"/>
      <c r="F1048575" s="4"/>
      <c r="G1048575" s="3"/>
      <c r="H1048575" s="54"/>
      <c r="I1048575" s="3"/>
    </row>
    <row r="1048576" s="1" customFormat="1" spans="1:9">
      <c r="A1048576" s="4"/>
      <c r="B1048576" s="5"/>
      <c r="C1048576" s="4"/>
      <c r="D1048576" s="4"/>
      <c r="E1048576" s="4"/>
      <c r="F1048576" s="4"/>
      <c r="G1048576" s="4"/>
      <c r="H1048576" s="6"/>
      <c r="I1048576" s="7"/>
    </row>
  </sheetData>
  <mergeCells count="1">
    <mergeCell ref="A1:I1"/>
  </mergeCells>
  <hyperlinks>
    <hyperlink ref="I23" r:id="rId1" display="文物解读\zz21合兴祥运单详细的文物说明.docx"/>
    <hyperlink ref="I24" r:id="rId2" display="文物解读\ZZ16 清同治厘照详细文物说明.docx"/>
    <hyperlink ref="I11" r:id="rId3" display="文物解读\清黑漆描金茶叶盒.docx"/>
    <hyperlink ref="I25" r:id="rId4" display="文物解读\685 清康熙青花矾红加金茶壶.docx"/>
    <hyperlink ref="I33" r:id="rId5" display="文物解读\清青花山水人物纹瓷茶具组.docx"/>
    <hyperlink ref="I31" r:id="rId6" display="文物解读\清乾隆青花加金彩茶具组.docx"/>
  </hyperlink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Lemovo</dc:creator>
  <cp:lastModifiedBy>麽遙</cp:lastModifiedBy>
  <dcterms:created xsi:type="dcterms:W3CDTF">2021-09-08T04:56:00Z</dcterms:created>
  <dcterms:modified xsi:type="dcterms:W3CDTF">2021-09-08T07:13:46Z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